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6wb3+vhu8JItWu/YzTsD6F0IZBV4KLRV15DiLR6SMdaJiSgkib9B/syYheq0W5nvaDJbw6qVPMQEAaBeDmofDw==" workbookSaltValue="WNGIKOsB7UlfokFiUXsEi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R8" i="9"/>
  <c r="BH11" i="16" s="1"/>
  <c r="BH17" i="16"/>
  <c r="BF17" i="11"/>
  <c r="W13" i="20"/>
  <c r="AT17" i="20"/>
  <c r="BK15" i="11"/>
  <c r="V9" i="11"/>
  <c r="BG9" i="11"/>
  <c r="AP17" i="20"/>
  <c r="BV16" i="16"/>
  <c r="BU9" i="17"/>
  <c r="T13" i="16"/>
  <c r="BF12" i="11"/>
  <c r="Q15" i="17"/>
  <c r="BH12" i="16"/>
  <c r="BD9" i="8"/>
  <c r="AH13" i="16"/>
  <c r="C10" i="14"/>
  <c r="K10" i="14" s="1"/>
  <c r="AL20" i="20"/>
  <c r="E20" i="20"/>
  <c r="AC20" i="20"/>
  <c r="H17" i="2" l="1"/>
  <c r="BD15" i="13"/>
  <c r="BF16" i="13"/>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AP20" i="20"/>
  <c r="AG20" i="20"/>
  <c r="U10" i="11"/>
  <c r="AZ20" i="20"/>
  <c r="AU20" i="20"/>
  <c r="Z20" i="20"/>
  <c r="AM20" i="20"/>
  <c r="T20" i="20"/>
  <c r="U16" i="11"/>
  <c r="AI20" i="20"/>
  <c r="AX20" i="20"/>
  <c r="N20" i="20"/>
  <c r="U12" i="11"/>
  <c r="G18" i="14"/>
  <c r="W20" i="21"/>
  <c r="AD20" i="20"/>
  <c r="R20" i="20"/>
  <c r="G13" i="14"/>
  <c r="W20" i="20"/>
  <c r="BK13" i="11" l="1"/>
  <c r="S18" i="16"/>
  <c r="K16" i="12"/>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T20" i="21"/>
  <c r="Q20" i="20"/>
  <c r="M20" i="20"/>
  <c r="F20" i="20"/>
  <c r="AV20" i="20"/>
  <c r="AO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U17" i="11"/>
  <c r="Y20" i="20"/>
  <c r="H20" i="17"/>
  <c r="O10" i="11"/>
  <c r="AK20" i="20"/>
  <c r="AW20" i="11"/>
  <c r="AV20" i="21"/>
  <c r="AA20" i="20"/>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<sst xmlns="http://schemas.openxmlformats.org/spreadsheetml/2006/main" count="2094" uniqueCount="913">
  <si>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</si>
  <si>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</si>
  <si>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</si>
  <si>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</si>
  <si>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</si>
  <si>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</si>
  <si>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</si>
  <si>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</si>
  <si>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</si>
  <si>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</si>
  <si>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</si>
  <si>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</si>
  <si>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</si>
  <si>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</si>
  <si>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</si>
  <si>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</si>
  <si>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</si>
  <si>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</si>
  <si>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</si>
  <si>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</si>
  <si>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</si>
  <si>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</si>
  <si>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</si>
  <si>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</si>
  <si>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</si>
  <si>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</si>
  <si>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</si>
  <si>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</si>
  <si>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</si>
  <si>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</si>
  <si>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</si>
  <si>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</si>
  <si>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</si>
  <si>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</si>
  <si>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</si>
  <si>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</si>
  <si>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</si>
  <si>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</si>
  <si>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</si>
  <si>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</si>
  <si>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</si>
  <si>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</si>
  <si>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</si>
  <si>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</si>
  <si>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</si>
  <si>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</si>
  <si>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</si>
  <si>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</si>
  <si>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</si>
  <si>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</si>
  <si>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</si>
  <si>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</si>
  <si>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</si>
  <si>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</si>
  <si>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</si>
  <si>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</si>
  <si>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</si>
  <si>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</si>
  <si>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</si>
  <si>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</si>
  <si>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</si>
  <si>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</si>
  <si>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</si>
  <si>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</si>
  <si>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</si>
  <si>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</si>
  <si>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</si>
  <si>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</si>
  <si>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</si>
  <si>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</si>
  <si>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</si>
  <si>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</si>
  <si>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</si>
  <si>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</si>
  <si>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</si>
  <si>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</si>
  <si>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</si>
  <si>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</si>
  <si>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</si>
  <si>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</si>
  <si>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</si>
  <si>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</si>
  <si>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</si>
  <si>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</si>
  <si>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</si>
  <si>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</si>
  <si>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</si>
  <si>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</si>
  <si>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</si>
  <si>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</si>
  <si>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</si>
  <si>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</si>
  <si>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</si>
  <si>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</si>
  <si>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</si>
  <si>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</si>
  <si>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</si>
  <si>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</si>
  <si>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</si>
  <si>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</si>
  <si>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</si>
  <si>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</si>
  <si>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</si>
  <si>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</si>
  <si>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</si>
  <si>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</si>
  <si>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</si>
  <si>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</si>
  <si>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</si>
  <si>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</si>
  <si>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</si>
  <si>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</si>
  <si>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</si>
  <si>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</si>
  <si>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</si>
  <si>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</si>
  <si>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</si>
  <si>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</si>
  <si>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</si>
  <si>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</si>
  <si>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</si>
  <si>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</si>
  <si>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</si>
  <si>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</si>
  <si>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</si>
  <si>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</si>
  <si>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</si>
  <si>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</si>
  <si>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</si>
  <si>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</si>
  <si>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</si>
  <si>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</si>
  <si>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</si>
  <si>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</si>
  <si>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</si>
  <si>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</si>
  <si>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</si>
  <si>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</si>
  <si>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</si>
  <si>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</si>
  <si>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</si>
  <si>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</si>
  <si>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</si>
  <si>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</si>
  <si>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</si>
  <si>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</si>
  <si>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</si>
  <si>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</si>
  <si>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</si>
  <si>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</si>
  <si>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</si>
  <si>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</si>
  <si>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</si>
  <si>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</si>
  <si>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</si>
  <si>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</si>
  <si>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</si>
  <si>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</si>
  <si>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</si>
  <si>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</si>
  <si>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</si>
  <si>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</si>
  <si>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</si>
  <si>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</si>
  <si>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</si>
  <si>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</si>
  <si>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</si>
  <si>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</si>
  <si>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</si>
  <si>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</si>
  <si>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</si>
  <si>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</si>
  <si>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</si>
  <si>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</si>
  <si>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</si>
  <si>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</si>
  <si>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</si>
  <si>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</si>
  <si>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</si>
  <si>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</si>
  <si>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</si>
  <si>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</si>
  <si>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</si>
  <si>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</si>
  <si>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</si>
  <si>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</si>
  <si>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</si>
  <si>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</si>
  <si>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</si>
  <si>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</si>
  <si>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</si>
  <si>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</si>
  <si>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</si>
  <si>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</si>
  <si>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</si>
  <si>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</si>
  <si>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</si>
  <si>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</si>
  <si>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</si>
  <si>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</si>
  <si>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</si>
  <si>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</si>
  <si>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</si>
  <si>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</si>
  <si>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</si>
  <si>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</si>
  <si>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</si>
  <si>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</si>
  <si>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</si>
  <si>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</si>
  <si>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</si>
  <si>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</si>
  <si>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</si>
  <si>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</si>
  <si>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</si>
  <si>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</si>
  <si>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</si>
  <si>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</si>
  <si>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</si>
  <si>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</si>
  <si>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</si>
  <si>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</si>
  <si>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</si>
  <si>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</si>
  <si>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</si>
  <si>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</si>
  <si>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</si>
  <si>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</si>
  <si>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</si>
  <si>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</si>
  <si>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</si>
  <si>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</si>
  <si>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</si>
  <si>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</si>
  <si>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</si>
  <si>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</si>
  <si>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</si>
  <si>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</si>
  <si>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</si>
  <si>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</si>
  <si>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</si>
  <si>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</si>
  <si>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</si>
  <si>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</si>
  <si>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</si>
  <si>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</si>
  <si>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</si>
  <si>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</si>
  <si>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</si>
  <si>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</si>
  <si>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</si>
  <si>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</si>
  <si>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</si>
  <si>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</si>
  <si>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</si>
  <si>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</si>
  <si>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</si>
  <si>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</si>
  <si>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</si>
  <si>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</si>
  <si>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</si>
  <si>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</si>
  <si>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</si>
  <si>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</si>
  <si>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</si>
  <si>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</si>
  <si>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</si>
  <si>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</si>
  <si>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</si>
  <si>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</si>
  <si>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</si>
  <si>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</si>
  <si>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</si>
  <si>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</si>
  <si>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</si>
  <si>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</si>
  <si>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</si>
  <si>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</si>
  <si>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</si>
  <si>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</si>
  <si>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</si>
  <si>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</si>
  <si>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</si>
  <si>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</si>
  <si>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</si>
  <si>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</si>
  <si>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</si>
  <si>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</si>
  <si>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</si>
  <si>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</si>
  <si>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</si>
  <si>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</si>
  <si>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</si>
  <si>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</si>
  <si>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</si>
  <si>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</si>
  <si>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</si>
  <si>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</si>
  <si>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</si>
  <si>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</si>
  <si>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</si>
  <si>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</si>
  <si>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</si>
  <si>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</si>
  <si>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</si>
  <si>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</si>
  <si>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</si>
  <si>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</si>
  <si>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</si>
  <si>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</si>
  <si>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</si>
  <si>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</si>
  <si>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</si>
  <si>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</si>
  <si>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</si>
  <si>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</si>
  <si>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</si>
  <si>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</si>
  <si>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</si>
  <si>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</si>
  <si>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</si>
  <si>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</si>
  <si>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</si>
  <si>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</si>
  <si>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</si>
  <si>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</si>
  <si>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</si>
  <si>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</si>
  <si>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</si>
  <si>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</si>
  <si>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</si>
  <si>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</si>
  <si>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</si>
  <si>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</si>
  <si>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</si>
  <si>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</si>
  <si>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</si>
  <si>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</si>
  <si>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</si>
  <si>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</si>
  <si>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</si>
  <si>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</si>
  <si>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</si>
  <si>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</si>
  <si>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</si>
  <si>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</si>
  <si>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</si>
  <si>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</si>
  <si>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</si>
  <si>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</si>
  <si>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</si>
  <si>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</si>
  <si>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</si>
  <si>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</si>
  <si>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</si>
  <si>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</si>
  <si>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</si>
  <si>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</si>
  <si>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</si>
  <si>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</si>
  <si>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</si>
  <si>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</si>
  <si>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</si>
  <si>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</si>
  <si>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</si>
  <si>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</si>
  <si>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</si>
  <si>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</si>
  <si>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</si>
  <si>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</si>
  <si>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</si>
  <si>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</si>
  <si>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</si>
  <si>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</si>
  <si>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</si>
  <si>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</si>
  <si>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</si>
  <si>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</si>
  <si>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</si>
  <si>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</si>
  <si>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</si>
  <si>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</si>
  <si>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</si>
  <si>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</si>
  <si>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</si>
  <si>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</si>
  <si>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</si>
  <si>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</si>
  <si>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</si>
  <si>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</si>
  <si>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</si>
  <si>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</si>
  <si>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</si>
  <si>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</si>
  <si>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</si>
  <si>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</si>
  <si>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</si>
  <si>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</si>
  <si>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</si>
  <si>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</si>
  <si>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</si>
  <si>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</si>
  <si>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</si>
  <si>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</si>
  <si>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</si>
  <si>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</si>
  <si>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</si>
  <si>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</si>
  <si>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</si>
  <si>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</si>
  <si>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</si>
  <si>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</si>
  <si>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</si>
  <si>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</si>
  <si>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</si>
  <si>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</si>
  <si>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</si>
  <si>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</si>
  <si>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</si>
  <si>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</si>
  <si>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</si>
  <si>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</si>
  <si>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</si>
  <si>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</si>
  <si>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</si>
  <si>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</si>
  <si>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</si>
  <si>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</si>
  <si>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</si>
  <si>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</si>
  <si>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</si>
  <si>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</si>
  <si>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</si>
  <si>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</si>
  <si>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</si>
  <si>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</si>
  <si>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</si>
  <si>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</si>
  <si>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</si>
  <si>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</si>
  <si>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</si>
  <si>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</si>
  <si>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</si>
  <si>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</si>
  <si>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</si>
  <si>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</si>
  <si>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</si>
  <si>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</si>
  <si>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</si>
  <si>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</si>
  <si>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</si>
  <si>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</si>
  <si>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</si>
  <si>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</si>
  <si>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</si>
  <si>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</si>
  <si>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</si>
  <si>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</si>
  <si>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</si>
  <si>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</si>
  <si>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</si>
  <si>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</si>
  <si>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</si>
  <si>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</si>
  <si>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</si>
  <si>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</si>
  <si>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</si>
  <si>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</si>
  <si>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</si>
  <si>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</si>
  <si>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</si>
  <si>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</si>
  <si>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</si>
  <si>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</si>
  <si>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</si>
  <si>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</si>
  <si>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</si>
  <si>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</si>
  <si>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</si>
  <si>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</si>
  <si>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</si>
  <si>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</si>
  <si>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</si>
  <si>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</si>
  <si>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</si>
  <si>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</si>
  <si>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</si>
  <si>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</si>
  <si>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</si>
  <si>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</si>
  <si>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</si>
  <si>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</si>
  <si>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</si>
  <si>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</si>
  <si>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</si>
  <si>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</si>
  <si>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</si>
  <si>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</si>
  <si>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</si>
  <si>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</si>
  <si>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</si>
  <si>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</si>
  <si>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</si>
  <si>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</si>
  <si>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</si>
  <si>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</si>
  <si>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</si>
  <si>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</si>
  <si>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</si>
  <si>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</si>
  <si>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</si>
  <si>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</si>
  <si>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</si>
  <si>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</si>
  <si>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</si>
  <si>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</si>
  <si>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</si>
  <si>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</si>
  <si>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</si>
  <si>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</si>
  <si>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</si>
  <si>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</si>
  <si>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</si>
  <si>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</si>
  <si>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</si>
  <si>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</si>
  <si>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</si>
  <si>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</si>
  <si>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</si>
  <si>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</si>
  <si>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</si>
  <si>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</si>
  <si>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</si>
  <si>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</si>
  <si>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</si>
  <si>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</si>
  <si>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</si>
  <si>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</si>
  <si>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</si>
  <si>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</si>
  <si>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</si>
  <si>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</si>
  <si>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</si>
  <si>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</si>
  <si>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</si>
  <si>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</si>
  <si>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</si>
  <si>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</si>
  <si>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</si>
  <si>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</si>
  <si>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</si>
  <si>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</si>
  <si>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</si>
  <si>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</si>
  <si>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</si>
  <si>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</si>
  <si>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</si>
  <si>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</si>
  <si>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</si>
  <si>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</si>
  <si>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</si>
  <si>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</si>
  <si>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</si>
  <si>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</si>
  <si>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</si>
  <si>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</si>
  <si>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</si>
  <si>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</si>
  <si>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</si>
  <si>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</si>
  <si>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</si>
  <si>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</si>
  <si>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</si>
  <si>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</si>
  <si>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</si>
  <si>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</si>
  <si>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</si>
  <si>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</si>
  <si>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</si>
  <si>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</si>
  <si>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</si>
  <si>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</si>
  <si>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</si>
  <si>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</si>
  <si>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</si>
  <si>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</si>
  <si>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</si>
  <si>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</si>
  <si>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</si>
  <si>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</si>
  <si>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</si>
  <si>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</si>
  <si>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</si>
  <si>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</si>
  <si>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</si>
  <si>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</si>
  <si>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</si>
  <si>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</si>
  <si>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</si>
  <si>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</si>
  <si>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</si>
  <si>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</si>
  <si>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</si>
  <si>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</si>
  <si>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</si>
  <si>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</si>
  <si>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</si>
  <si>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</si>
  <si>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</si>
  <si>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</si>
  <si>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</si>
  <si>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</si>
  <si>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</si>
  <si>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</si>
  <si>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</si>
  <si>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</si>
  <si>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</si>
  <si>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</si>
  <si>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</si>
  <si>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</si>
  <si>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</si>
  <si>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</si>
  <si>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</si>
  <si>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</si>
  <si>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</si>
  <si>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</si>
  <si>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</si>
  <si>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</si>
  <si>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</si>
  <si>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</si>
  <si>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</si>
  <si>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</si>
  <si>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</si>
  <si>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</si>
  <si>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</si>
  <si>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</si>
  <si>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</si>
  <si>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</si>
  <si>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</si>
  <si>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</si>
  <si>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</si>
  <si>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</si>
  <si>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</si>
  <si>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</si>
  <si>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</si>
  <si>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</si>
  <si>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</si>
  <si>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</si>
  <si>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</si>
  <si>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</si>
  <si>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</si>
  <si>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</si>
  <si>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</si>
  <si>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</si>
  <si>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</si>
  <si>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</si>
  <si>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</si>
  <si>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</si>
  <si>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</si>
  <si>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</si>
  <si>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</si>
  <si>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</si>
  <si>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</si>
  <si>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</si>
  <si>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</si>
  <si>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</si>
  <si>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</si>
  <si>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</si>
  <si>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</si>
  <si>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</si>
  <si>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</si>
  <si>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</si>
  <si>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</si>
  <si>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</si>
  <si>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</si>
  <si>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</si>
  <si>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</si>
  <si>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</si>
  <si>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</si>
  <si>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</si>
  <si>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</si>
  <si>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</si>
  <si>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</si>
  <si>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</si>
  <si>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</si>
  <si>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</si>
  <si>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</si>
  <si>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</si>
  <si>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</si>
  <si>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</si>
  <si>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</si>
  <si>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</si>
  <si>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</si>
  <si>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</si>
  <si>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</si>
  <si>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</si>
  <si>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</si>
  <si>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</si>
  <si>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</si>
  <si>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</si>
  <si>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</si>
  <si>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</si>
  <si>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</si>
  <si>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</si>
  <si>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</si>
  <si>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</si>
  <si>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</si>
  <si>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</si>
  <si>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</si>
  <si>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</si>
  <si>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</si>
  <si>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</si>
  <si>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</si>
  <si>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</si>
  <si>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</si>
  <si>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</si>
  <si>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</si>
  <si>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</si>
  <si>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</si>
  <si>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</si>
  <si>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</si>
  <si>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</si>
  <si>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</si>
  <si>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</si>
  <si>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</si>
  <si>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</si>
  <si>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</si>
  <si>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</si>
  <si>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</si>
  <si>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</si>
  <si>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</si>
  <si>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</si>
  <si>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</si>
  <si>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</si>
  <si>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</si>
  <si>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</si>
  <si>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</si>
  <si>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</si>
  <si>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</si>
  <si>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</si>
  <si>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</si>
  <si>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</si>
  <si>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</si>
  <si>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</si>
  <si>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</si>
  <si>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</si>
  <si>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</si>
  <si>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</si>
  <si>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</si>
  <si>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</si>
  <si>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</si>
  <si>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</si>
  <si>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</si>
  <si>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</si>
  <si>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</si>
  <si>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</si>
  <si>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</si>
  <si>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</si>
  <si>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</si>
  <si>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</si>
  <si>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</si>
  <si>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</si>
  <si>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</si>
  <si>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</si>
  <si>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</si>
  <si>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</si>
  <si>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</si>
  <si>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</si>
  <si>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</si>
  <si>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</si>
  <si>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</si>
  <si>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</si>
  <si>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</si>
  <si>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</si>
  <si>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</si>
  <si>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</si>
  <si>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</si>
  <si>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</si>
  <si>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</si>
  <si>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</si>
  <si>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</si>
  <si>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</si>
  <si>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</si>
  <si>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</si>
  <si>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</si>
  <si>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</si>
  <si>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</si>
  <si>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</si>
  <si>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</si>
  <si>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</si>
  <si>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</si>
  <si>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</si>
  <si>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</si>
  <si>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</si>
  <si>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</si>
  <si>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</si>
  <si>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</si>
  <si>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</si>
  <si>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</si>
  <si>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</si>
  <si>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</si>
  <si>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</si>
  <si>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</si>
  <si>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</si>
  <si>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</si>
  <si>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</si>
  <si>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</si>
  <si>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</si>
  <si>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</si>
  <si>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</si>
  <si>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</si>
  <si>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</si>
  <si>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</si>
  <si>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</si>
  <si>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</si>
  <si>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</si>
  <si>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</si>
  <si>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</si>
  <si>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</si>
  <si>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</si>
  <si>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</si>
  <si>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</si>
  <si>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</si>
  <si>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</si>
  <si>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</si>
  <si>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</si>
  <si>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</si>
  <si>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</si>
  <si>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</si>
  <si>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</si>
  <si>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</si>
  <si>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</si>
  <si>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</si>
  <si>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</si>
  <si>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</si>
  <si>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</si>
  <si>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</si>
  <si>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</si>
  <si>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</si>
  <si>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</si>
  <si>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</si>
  <si>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</si>
  <si>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</si>
  <si>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</si>
  <si>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</si>
  <si>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</si>
  <si>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</si>
  <si>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</si>
  <si>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</si>
  <si>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</si>
  <si>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</si>
  <si>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</si>
  <si>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</si>
  <si>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</si>
  <si>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</si>
  <si>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</si>
  <si>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</si>
  <si>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</si>
  <si>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</si>
  <si>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</si>
  <si>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</si>
  <si>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</si>
  <si>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</si>
  <si>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</si>
  <si>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</si>
  <si>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</si>
  <si>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</si>
  <si>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</si>
  <si>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</si>
  <si>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</si>
  <si>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</si>
  <si>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</si>
  <si>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</si>
  <si>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</si>
  <si>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</si>
  <si>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</si>
  <si>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</si>
  <si>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</si>
  <si>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</si>
  <si>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</si>
  <si>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</si>
  <si>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</si>
  <si>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</si>
  <si>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</si>
  <si>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</si>
  <si>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</si>
  <si>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</si>
  <si>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</si>
  <si>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</si>
  <si>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</si>
  <si>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</si>
  <si>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</si>
  <si>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</si>
  <si>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</si>
  <si>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</si>
  <si>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</si>
  <si>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</si>
  <si>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</si>
  <si>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</si>
  <si>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</si>
  <si>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</si>
  <si>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</si>
  <si>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</si>
  <si>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</si>
  <si>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</si>
  <si>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</si>
  <si>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</si>
  <si>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</si>
  <si>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</si>
  <si>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</si>
  <si>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JAEN</t>
  </si>
  <si>
    <t>Resumenes por Partidos Judiciales</t>
  </si>
  <si>
    <t>MARTOS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</si>
</sst>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HlNxiur8Fcl4MVzkvdICeWidDOSKDjtesCf0psdwmMbvuZ3bD/TsbE5u4Gv1w2kelC9KH091qQpbsBYUmTnyTQ==" saltValue="6Oy+LooQ2wkDTMflDCc8k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3</v>
      </c>
      <c r="F10" s="230">
        <f>IF(ISNUMBER(Datos!K10),Datos!K10," - ")</f>
        <v>2</v>
      </c>
      <c r="G10" s="1189" t="str">
        <f>IF(Datos!E10&lt;&gt;"",Datos!E10,Datos!D10)</f>
        <v>37</v>
      </c>
      <c r="H10" s="231">
        <f>IF(ISNUMBER(Datos!L10),Datos!L10," - ")</f>
        <v>1</v>
      </c>
      <c r="I10" s="1199" t="str">
        <f>IF(ISNUMBER(Datos!AS10/Datos!BM10),Datos!AS10/Datos!BM10," - ")</f>
        <v xml:space="preserve"> - </v>
      </c>
      <c r="J10" s="1200">
        <f>IF(ISNUMBER(Datos!BY10/Datos!CN10),Datos!BY10/Datos!CN10," - ")</f>
        <v>0</v>
      </c>
      <c r="K10" s="234" t="str">
        <f t="shared" ref="K10:K12" si="1">IF(ISNUMBER((E10-F10)/C10),(E10-F10)/C10," - ")</f>
        <v xml:space="preserve"> - </v>
      </c>
      <c r="L10" s="1201">
        <f>IF(ISNUMBER(NºAsuntos!I10/NºAsuntos!G10),(NºAsuntos!I10/NºAsuntos!G10)*11," - ")</f>
        <v>5.5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46.75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3</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473</v>
      </c>
      <c r="D16" s="229">
        <f>IF(ISNUMBER(IF(D_I="SI",Datos!I16,Datos!I16+Datos!AC16)),IF(D_I="SI",Datos!I16,Datos!I16+Datos!AC16)," - ")</f>
        <v>473</v>
      </c>
      <c r="E16" s="230">
        <f>IF(ISNUMBER(IF(D_I="SI",Datos!J16,Datos!J16+Datos!AD16)),IF(D_I="SI",Datos!J16,Datos!J16+Datos!AD16)," - ")</f>
        <v>714</v>
      </c>
      <c r="F16" s="230">
        <f>IF(ISNUMBER(IF(D_I="SI",Datos!K16,Datos!K16+Datos!AE16)),IF(D_I="SI",Datos!K16,Datos!K16+Datos!AE16)," - ")</f>
        <v>671</v>
      </c>
      <c r="G16" s="1189" t="str">
        <f>IF(Datos!E16&lt;&gt;"",Datos!E16,Datos!D16)</f>
        <v>04</v>
      </c>
      <c r="H16" s="231">
        <f>IF(ISNUMBER(IF(D_I="SI",Datos!L16,Datos!L16+Datos!AF16)),IF(D_I="SI",Datos!L16,Datos!L16+Datos!AF16)," - ")</f>
        <v>516</v>
      </c>
      <c r="I16" s="1199" t="str">
        <f>IF(ISNUMBER(Datos!AS16/Datos!BM16),Datos!AS16/Datos!BM16," - ")</f>
        <v xml:space="preserve"> - </v>
      </c>
      <c r="J16" s="1200">
        <f>IF(ISNUMBER(Datos!BY16/Datos!CN16),Datos!BY16/Datos!CN16," - ")</f>
        <v>0</v>
      </c>
      <c r="K16" s="234">
        <f t="shared" si="3"/>
        <v>9.0909090909090912E-2</v>
      </c>
      <c r="L16" s="1201">
        <f>IF(ISNUMBER(NºAsuntos!I16/NºAsuntos!G16),(NºAsuntos!I16/NºAsuntos!G16)*11," - ")</f>
        <v>8.4590163934426226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70</v>
      </c>
      <c r="D17" s="229">
        <f>IF(ISNUMBER(IF(D_I="SI",Datos!I17,Datos!I17+Datos!AC17)),IF(D_I="SI",Datos!I17,Datos!I17+Datos!AC17)," - ")</f>
        <v>70</v>
      </c>
      <c r="E17" s="230">
        <f>IF(ISNUMBER(IF(D_I="SI",Datos!J17,Datos!J17+Datos!AD17)),IF(D_I="SI",Datos!J17,Datos!J17+Datos!AD17)," - ")</f>
        <v>116</v>
      </c>
      <c r="F17" s="230">
        <f>IF(ISNUMBER(IF(D_I="SI",Datos!K17,Datos!K17+Datos!AE17)),IF(D_I="SI",Datos!K17,Datos!K17+Datos!AE17)," - ")</f>
        <v>97</v>
      </c>
      <c r="G17" s="1189" t="str">
        <f>IF(Datos!E17&lt;&gt;"",Datos!E17,Datos!D17)</f>
        <v>37</v>
      </c>
      <c r="H17" s="231">
        <f>IF(ISNUMBER(IF(D_I="SI",Datos!L17,Datos!L17+Datos!AF17)),IF(D_I="SI",Datos!L17,Datos!L17+Datos!AF17)," - ")</f>
        <v>89</v>
      </c>
      <c r="I17" s="1199" t="str">
        <f>IF(ISNUMBER(Datos!AS17/Datos!BM17),Datos!AS17/Datos!BM17," - ")</f>
        <v xml:space="preserve"> - </v>
      </c>
      <c r="J17" s="1200" t="str">
        <f>IF(ISNUMBER((Datos!BY17+Datos!BZ17)/Datos!CN17),(Datos!BY17+Datos!BZ17)/Datos!CN17," - ")</f>
        <v xml:space="preserve"> - </v>
      </c>
      <c r="K17" s="234">
        <f t="shared" si="3"/>
        <v>0.27142857142857141</v>
      </c>
      <c r="L17" s="1201">
        <f>IF(ISNUMBER(NºAsuntos!I17/NºAsuntos!G17),(NºAsuntos!I17/NºAsuntos!G17)*11," - ")</f>
        <v>10.092783505154639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543</v>
      </c>
      <c r="D18" s="1206">
        <f>SUBTOTAL(9,D15:D17)</f>
        <v>543</v>
      </c>
      <c r="E18" s="1207">
        <f>SUBTOTAL(9,E15:E17)</f>
        <v>830</v>
      </c>
      <c r="F18" s="1207">
        <f>SUBTOTAL(9,F15:F17)</f>
        <v>768</v>
      </c>
      <c r="G18" s="1209" t="str">
        <f ca="1">INDIRECT(CONCATENATE("G",ROW()-1))</f>
        <v>37</v>
      </c>
      <c r="H18" s="1210">
        <f ca="1">SUMIF(G$14:G17,G18,H$14:H17)</f>
        <v>89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543</v>
      </c>
      <c r="D19" s="1228">
        <f>SUBTOTAL(9,D9:D18)</f>
        <v>543</v>
      </c>
      <c r="E19" s="1229">
        <f>SUBTOTAL(9,E9:E18)</f>
        <v>833</v>
      </c>
      <c r="F19" s="1229">
        <f>SUBTOTAL(9,F9:F18)</f>
        <v>770</v>
      </c>
      <c r="G19" s="1230"/>
      <c r="H19" s="1231">
        <f ca="1">SUMIF(B9:B18,"TOTAL",H9:H18)</f>
        <v>89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mnx9v4lFraxWgkbegl9xBfZ6MmqI0HcGoeRg043gzJPwCk69o/Jx5IiW9EiAbXvAX2LqIiUoTmXbhAAOJIJ35A==" saltValue="My27KO+fd5JEvNNVnEpNr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SDnqFOh7cadoFug+WV+Q/zpn5oBM8Q5dAk/1QHmY9XogtRt4PIBjmSIaNIbHJlxiIMjzxuxy+HrkfY8Ncp1c4A==" saltValue="ZLVUnwBZVhni9kFW/Ofm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3</v>
      </c>
      <c r="K10" s="185">
        <v>2</v>
      </c>
      <c r="L10" s="185">
        <v>1</v>
      </c>
      <c r="M10" s="185">
        <v>0</v>
      </c>
      <c r="N10" s="185">
        <v>0</v>
      </c>
      <c r="O10" s="185">
        <v>0</v>
      </c>
      <c r="P10" s="185">
        <v>0</v>
      </c>
      <c r="Q10" s="185">
        <v>0</v>
      </c>
      <c r="R10" s="185">
        <v>3</v>
      </c>
      <c r="S10" s="185">
        <v>0</v>
      </c>
      <c r="T10" s="185">
        <v>1</v>
      </c>
      <c r="U10" s="185">
        <v>1</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1</v>
      </c>
      <c r="BA10" s="130">
        <f t="shared" si="0"/>
        <v>1</v>
      </c>
      <c r="BB10" s="130">
        <f t="shared" si="0"/>
        <v>0</v>
      </c>
      <c r="BC10" s="126">
        <f t="shared" si="0"/>
        <v>0</v>
      </c>
      <c r="BD10" s="127">
        <f>IF(ISNUMBER(BA10/AZ10),BA10/AZ10," - ")</f>
        <v>1</v>
      </c>
      <c r="BE10" s="128">
        <f>IF(ISNUMBER(BB10/BA10),BB10/BA10, " - ")</f>
        <v>0</v>
      </c>
      <c r="BF10" s="128">
        <f>IF(ISNUMBER(BC10/BA10),BC10/BA10, " - ")</f>
        <v>0</v>
      </c>
      <c r="BG10" s="200">
        <f>IF(ISNUMBER((AY10+AZ10)/BA10),(AY10+AZ10)/BA10," - ")</f>
        <v>1</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1089</v>
      </c>
      <c r="J12" s="187">
        <v>555</v>
      </c>
      <c r="K12" s="187">
        <v>305</v>
      </c>
      <c r="L12" s="187">
        <v>1339</v>
      </c>
      <c r="M12" s="187">
        <v>107</v>
      </c>
      <c r="N12" s="187">
        <v>83</v>
      </c>
      <c r="O12" s="185">
        <v>31</v>
      </c>
      <c r="P12" s="187">
        <v>121</v>
      </c>
      <c r="Q12" s="187">
        <v>40</v>
      </c>
      <c r="R12" s="187">
        <v>1571</v>
      </c>
      <c r="S12" s="187">
        <v>681</v>
      </c>
      <c r="T12" s="187">
        <v>318</v>
      </c>
      <c r="U12" s="187">
        <v>299</v>
      </c>
      <c r="V12" s="187">
        <v>700</v>
      </c>
      <c r="W12" s="187">
        <v>75</v>
      </c>
      <c r="X12" s="193">
        <v>91</v>
      </c>
      <c r="Y12" s="195">
        <v>44</v>
      </c>
      <c r="Z12" s="185">
        <v>13</v>
      </c>
      <c r="AA12" s="185">
        <v>19</v>
      </c>
      <c r="AB12" s="185">
        <v>38</v>
      </c>
      <c r="AC12" s="187">
        <v>0</v>
      </c>
      <c r="AD12" s="187">
        <v>0</v>
      </c>
      <c r="AE12" s="187">
        <v>0</v>
      </c>
      <c r="AF12" s="193">
        <v>0</v>
      </c>
      <c r="AG12" s="206">
        <v>41</v>
      </c>
      <c r="AH12" s="187">
        <v>33</v>
      </c>
      <c r="AI12" s="187">
        <v>23</v>
      </c>
      <c r="AJ12" s="207">
        <v>51</v>
      </c>
      <c r="AK12" s="186">
        <v>0</v>
      </c>
      <c r="AL12" s="187">
        <v>0</v>
      </c>
      <c r="AM12" s="187">
        <v>0</v>
      </c>
      <c r="AN12" s="193">
        <v>0</v>
      </c>
      <c r="AO12" s="263">
        <v>2</v>
      </c>
      <c r="AP12" s="159">
        <v>2</v>
      </c>
      <c r="AQ12" s="159">
        <v>2</v>
      </c>
      <c r="AR12" s="158">
        <v>2</v>
      </c>
      <c r="AS12" s="349" t="s">
        <v>811</v>
      </c>
      <c r="AT12" s="207"/>
      <c r="AU12" s="206"/>
      <c r="AV12" s="207"/>
      <c r="AW12" s="206"/>
      <c r="AX12" s="207"/>
      <c r="AY12" s="127">
        <f t="shared" si="1"/>
        <v>722</v>
      </c>
      <c r="AZ12" s="128">
        <f t="shared" si="1"/>
        <v>351</v>
      </c>
      <c r="BA12" s="128">
        <f t="shared" si="1"/>
        <v>322</v>
      </c>
      <c r="BB12" s="128">
        <f t="shared" si="1"/>
        <v>751</v>
      </c>
      <c r="BC12" s="126">
        <f>IF(ISNUMBER(X12),X12," - ")</f>
        <v>91</v>
      </c>
      <c r="BD12" s="127">
        <f t="shared" si="2"/>
        <v>0.91737891737891741</v>
      </c>
      <c r="BE12" s="128">
        <f t="shared" si="3"/>
        <v>2.3322981366459627</v>
      </c>
      <c r="BF12" s="128">
        <f t="shared" si="4"/>
        <v>0.28260869565217389</v>
      </c>
      <c r="BG12" s="200">
        <f t="shared" si="5"/>
        <v>3.3322981366459627</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1089</v>
      </c>
      <c r="J13" s="188">
        <f t="shared" si="6"/>
        <v>558</v>
      </c>
      <c r="K13" s="188">
        <f t="shared" si="6"/>
        <v>307</v>
      </c>
      <c r="L13" s="188">
        <f t="shared" si="6"/>
        <v>1340</v>
      </c>
      <c r="M13" s="188">
        <f t="shared" si="6"/>
        <v>107</v>
      </c>
      <c r="N13" s="188">
        <f t="shared" si="6"/>
        <v>83</v>
      </c>
      <c r="O13" s="188">
        <f t="shared" si="6"/>
        <v>31</v>
      </c>
      <c r="P13" s="188">
        <f t="shared" si="6"/>
        <v>121</v>
      </c>
      <c r="Q13" s="188">
        <f t="shared" si="6"/>
        <v>40</v>
      </c>
      <c r="R13" s="188">
        <f t="shared" si="6"/>
        <v>1574</v>
      </c>
      <c r="S13" s="188">
        <f t="shared" si="6"/>
        <v>681</v>
      </c>
      <c r="T13" s="188">
        <f t="shared" si="6"/>
        <v>319</v>
      </c>
      <c r="U13" s="188">
        <f t="shared" si="6"/>
        <v>300</v>
      </c>
      <c r="V13" s="188">
        <f t="shared" si="6"/>
        <v>700</v>
      </c>
      <c r="W13" s="188">
        <f t="shared" si="6"/>
        <v>75</v>
      </c>
      <c r="X13" s="188">
        <f t="shared" si="6"/>
        <v>91</v>
      </c>
      <c r="Y13" s="188">
        <f t="shared" si="6"/>
        <v>44</v>
      </c>
      <c r="Z13" s="188">
        <f t="shared" si="6"/>
        <v>13</v>
      </c>
      <c r="AA13" s="188">
        <f t="shared" si="6"/>
        <v>19</v>
      </c>
      <c r="AB13" s="188">
        <f t="shared" si="6"/>
        <v>38</v>
      </c>
      <c r="AC13" s="188">
        <f t="shared" si="6"/>
        <v>0</v>
      </c>
      <c r="AD13" s="188">
        <f t="shared" si="6"/>
        <v>0</v>
      </c>
      <c r="AE13" s="188">
        <f t="shared" si="6"/>
        <v>0</v>
      </c>
      <c r="AF13" s="188">
        <f>SUBTOTAL(9,AF9:AF12)</f>
        <v>0</v>
      </c>
      <c r="AG13" s="188">
        <f t="shared" ref="AG13:AT13" si="7">SUBTOTAL(9,AG8:AG12)</f>
        <v>41</v>
      </c>
      <c r="AH13" s="188">
        <f t="shared" si="7"/>
        <v>33</v>
      </c>
      <c r="AI13" s="188">
        <f t="shared" si="7"/>
        <v>23</v>
      </c>
      <c r="AJ13" s="188">
        <f t="shared" si="7"/>
        <v>51</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722</v>
      </c>
      <c r="AZ13" s="188">
        <f>SUBTOTAL(9,AZ8:AZ12)</f>
        <v>352</v>
      </c>
      <c r="BA13" s="188">
        <f>SUBTOTAL(9,BA8:BA12)</f>
        <v>323</v>
      </c>
      <c r="BB13" s="188">
        <f>SUBTOTAL(9,BB8:BB12)</f>
        <v>751</v>
      </c>
      <c r="BC13" s="188">
        <f>SUBTOTAL(9,BC8:BC12)</f>
        <v>91</v>
      </c>
      <c r="BD13" s="209">
        <f>IF(ISNUMBER(BA13/AZ13),BA13/AZ13," - ")</f>
        <v>0.91761363636363635</v>
      </c>
      <c r="BE13" s="210">
        <f>IF(ISNUMBER(BB13/BA13),BB13/BA13, " - ")</f>
        <v>2.3250773993808052</v>
      </c>
      <c r="BF13" s="210">
        <f>IF(ISNUMBER(BC13/BA13),BC13/BA13, " - ")</f>
        <v>0.28173374613003094</v>
      </c>
      <c r="BG13" s="211">
        <f>IF(ISNUMBER((AY13+AZ13)/BA13),(AY13+AZ13)/BA13," - ")</f>
        <v>3.3250773993808052</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473</v>
      </c>
      <c r="J16" s="187">
        <v>714</v>
      </c>
      <c r="K16" s="187">
        <v>671</v>
      </c>
      <c r="L16" s="187">
        <v>516</v>
      </c>
      <c r="M16" s="187">
        <v>91</v>
      </c>
      <c r="N16" s="187">
        <v>442</v>
      </c>
      <c r="O16" s="185">
        <v>0</v>
      </c>
      <c r="P16" s="187">
        <v>22</v>
      </c>
      <c r="Q16" s="187">
        <v>12</v>
      </c>
      <c r="R16" s="187">
        <v>64</v>
      </c>
      <c r="S16" s="187">
        <v>440</v>
      </c>
      <c r="T16" s="187">
        <v>517</v>
      </c>
      <c r="U16" s="187">
        <v>451</v>
      </c>
      <c r="V16" s="187">
        <v>506</v>
      </c>
      <c r="W16" s="187">
        <v>37</v>
      </c>
      <c r="X16" s="193">
        <v>276</v>
      </c>
      <c r="Y16" s="206">
        <v>0</v>
      </c>
      <c r="Z16" s="187">
        <v>0</v>
      </c>
      <c r="AA16" s="187">
        <v>0</v>
      </c>
      <c r="AB16" s="187">
        <v>0</v>
      </c>
      <c r="AC16" s="187">
        <v>0</v>
      </c>
      <c r="AD16" s="187">
        <v>0</v>
      </c>
      <c r="AE16" s="187">
        <v>0</v>
      </c>
      <c r="AF16" s="193">
        <v>0</v>
      </c>
      <c r="AG16" s="206">
        <v>0</v>
      </c>
      <c r="AH16" s="187">
        <v>0</v>
      </c>
      <c r="AI16" s="187">
        <v>0</v>
      </c>
      <c r="AJ16" s="207">
        <v>0</v>
      </c>
      <c r="AK16" s="186">
        <v>5</v>
      </c>
      <c r="AL16" s="187">
        <v>2</v>
      </c>
      <c r="AM16" s="187">
        <v>1</v>
      </c>
      <c r="AN16" s="193">
        <v>6</v>
      </c>
      <c r="AO16" s="263">
        <v>2</v>
      </c>
      <c r="AP16" s="159">
        <v>2</v>
      </c>
      <c r="AQ16" s="159">
        <v>2</v>
      </c>
      <c r="AR16" s="159">
        <v>2</v>
      </c>
      <c r="AS16" s="349" t="s">
        <v>491</v>
      </c>
      <c r="AT16" s="207"/>
      <c r="AU16" s="206"/>
      <c r="AV16" s="207"/>
      <c r="AW16" s="206"/>
      <c r="AX16" s="207"/>
      <c r="AY16" s="127">
        <f t="shared" si="9"/>
        <v>440</v>
      </c>
      <c r="AZ16" s="128">
        <f t="shared" si="9"/>
        <v>517</v>
      </c>
      <c r="BA16" s="128">
        <f t="shared" si="9"/>
        <v>451</v>
      </c>
      <c r="BB16" s="128">
        <f t="shared" si="9"/>
        <v>506</v>
      </c>
      <c r="BC16" s="126">
        <f>IF(ISNUMBER(W16),W16," - ")</f>
        <v>37</v>
      </c>
      <c r="BD16" s="127">
        <f t="shared" ref="BD16" si="11">IF(ISNUMBER(BA16/AZ16),BA16/AZ16," - ")</f>
        <v>0.87234042553191493</v>
      </c>
      <c r="BE16" s="128">
        <f t="shared" ref="BE16" si="12">IF(ISNUMBER(BB16/BA16),BB16/BA16, " - ")</f>
        <v>1.1219512195121952</v>
      </c>
      <c r="BF16" s="128">
        <f t="shared" ref="BF16" si="13">IF(ISNUMBER(BC16/BA16),BC16/BA16, " - ")</f>
        <v>8.2039911308203997E-2</v>
      </c>
      <c r="BG16" s="200">
        <f t="shared" si="10"/>
        <v>2.1219512195121952</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70</v>
      </c>
      <c r="J17" s="187">
        <v>116</v>
      </c>
      <c r="K17" s="187">
        <v>97</v>
      </c>
      <c r="L17" s="187">
        <v>89</v>
      </c>
      <c r="M17" s="187">
        <v>15</v>
      </c>
      <c r="N17" s="187">
        <v>72</v>
      </c>
      <c r="O17" s="187">
        <v>0</v>
      </c>
      <c r="P17" s="187">
        <v>0</v>
      </c>
      <c r="Q17" s="187">
        <v>0</v>
      </c>
      <c r="R17" s="187">
        <v>0</v>
      </c>
      <c r="S17" s="187">
        <v>21</v>
      </c>
      <c r="T17" s="187">
        <v>79</v>
      </c>
      <c r="U17" s="187">
        <v>84</v>
      </c>
      <c r="V17" s="187">
        <v>16</v>
      </c>
      <c r="W17" s="187">
        <v>13</v>
      </c>
      <c r="X17" s="193">
        <v>71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21</v>
      </c>
      <c r="AZ17" s="130">
        <f t="shared" si="14"/>
        <v>79</v>
      </c>
      <c r="BA17" s="130">
        <f t="shared" si="14"/>
        <v>84</v>
      </c>
      <c r="BB17" s="130">
        <f t="shared" si="14"/>
        <v>16</v>
      </c>
      <c r="BC17" s="126">
        <f>IF(ISNUMBER(W17),W17," - ")</f>
        <v>13</v>
      </c>
      <c r="BD17" s="127">
        <f>IF(ISNUMBER(BA17/AZ17),BA17/AZ17," - ")</f>
        <v>1.0632911392405062</v>
      </c>
      <c r="BE17" s="128">
        <f>IF(ISNUMBER(BB17/BA17),BB17/BA17, " - ")</f>
        <v>0.19047619047619047</v>
      </c>
      <c r="BF17" s="128">
        <f>IF(ISNUMBER(BC17/BA17),BC17/BA17, " - ")</f>
        <v>0.15476190476190477</v>
      </c>
      <c r="BG17" s="200">
        <f>IF(ISNUMBER((AY17+AZ17)/BA17),(AY17+AZ17)/BA17," - ")</f>
        <v>1.1904761904761905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543</v>
      </c>
      <c r="J18" s="188">
        <f t="shared" si="15"/>
        <v>830</v>
      </c>
      <c r="K18" s="188">
        <f t="shared" si="15"/>
        <v>768</v>
      </c>
      <c r="L18" s="188">
        <f t="shared" si="15"/>
        <v>605</v>
      </c>
      <c r="M18" s="188">
        <f t="shared" si="15"/>
        <v>106</v>
      </c>
      <c r="N18" s="188">
        <f t="shared" si="15"/>
        <v>514</v>
      </c>
      <c r="O18" s="188">
        <f t="shared" si="15"/>
        <v>0</v>
      </c>
      <c r="P18" s="188">
        <f t="shared" si="15"/>
        <v>22</v>
      </c>
      <c r="Q18" s="188">
        <f t="shared" si="15"/>
        <v>12</v>
      </c>
      <c r="R18" s="188">
        <f t="shared" si="15"/>
        <v>64</v>
      </c>
      <c r="S18" s="188">
        <f t="shared" si="15"/>
        <v>461</v>
      </c>
      <c r="T18" s="188">
        <f t="shared" si="15"/>
        <v>596</v>
      </c>
      <c r="U18" s="188">
        <f t="shared" si="15"/>
        <v>535</v>
      </c>
      <c r="V18" s="188">
        <f t="shared" si="15"/>
        <v>522</v>
      </c>
      <c r="W18" s="188">
        <f t="shared" si="15"/>
        <v>50</v>
      </c>
      <c r="X18" s="188">
        <f t="shared" si="15"/>
        <v>347</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5</v>
      </c>
      <c r="AL18" s="188">
        <f t="shared" si="15"/>
        <v>2</v>
      </c>
      <c r="AM18" s="188">
        <f t="shared" si="15"/>
        <v>1</v>
      </c>
      <c r="AN18" s="188">
        <f t="shared" si="15"/>
        <v>6</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461</v>
      </c>
      <c r="AZ18" s="188">
        <f>SUBTOTAL(9,AZ14:AZ17)</f>
        <v>596</v>
      </c>
      <c r="BA18" s="188">
        <f>SUBTOTAL(9,BA14:BA17)</f>
        <v>535</v>
      </c>
      <c r="BB18" s="188">
        <f>SUBTOTAL(9,BB14:BB17)</f>
        <v>522</v>
      </c>
      <c r="BC18" s="188">
        <f>SUBTOTAL(9,BC14:BC17)</f>
        <v>50</v>
      </c>
      <c r="BD18" s="209">
        <f>IF(ISNUMBER(BA18/AZ18),BA18/AZ18," - ")</f>
        <v>0.8976510067114094</v>
      </c>
      <c r="BE18" s="210">
        <f>IF(ISNUMBER(BB18/BA18),BB18/BA18, " - ")</f>
        <v>0.97570093457943929</v>
      </c>
      <c r="BF18" s="210">
        <f>IF(ISNUMBER(BC18/BA18),BC18/BA18, " - ")</f>
        <v>9.3457943925233641E-2</v>
      </c>
      <c r="BG18" s="211">
        <f>IF(ISNUMBER((AY18+AZ18)/BA18),(AY18+AZ18)/BA18," - ")</f>
        <v>1.9757009345794392</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1632</v>
      </c>
      <c r="J19" s="135">
        <f t="shared" si="18"/>
        <v>1388</v>
      </c>
      <c r="K19" s="135">
        <f t="shared" si="18"/>
        <v>1075</v>
      </c>
      <c r="L19" s="135">
        <f t="shared" si="18"/>
        <v>1945</v>
      </c>
      <c r="M19" s="135">
        <f t="shared" si="18"/>
        <v>213</v>
      </c>
      <c r="N19" s="135">
        <f t="shared" si="18"/>
        <v>597</v>
      </c>
      <c r="O19" s="135">
        <f t="shared" si="18"/>
        <v>31</v>
      </c>
      <c r="P19" s="135">
        <f t="shared" si="18"/>
        <v>143</v>
      </c>
      <c r="Q19" s="135">
        <f t="shared" si="18"/>
        <v>52</v>
      </c>
      <c r="R19" s="135">
        <f t="shared" si="18"/>
        <v>1638</v>
      </c>
      <c r="S19" s="135">
        <f t="shared" si="18"/>
        <v>1142</v>
      </c>
      <c r="T19" s="135">
        <f t="shared" si="18"/>
        <v>915</v>
      </c>
      <c r="U19" s="135">
        <f t="shared" si="18"/>
        <v>835</v>
      </c>
      <c r="V19" s="135">
        <f t="shared" si="18"/>
        <v>1222</v>
      </c>
      <c r="W19" s="135">
        <f t="shared" si="18"/>
        <v>125</v>
      </c>
      <c r="X19" s="135">
        <f t="shared" si="18"/>
        <v>438</v>
      </c>
      <c r="Y19" s="135">
        <f t="shared" si="18"/>
        <v>44</v>
      </c>
      <c r="Z19" s="135">
        <f t="shared" si="18"/>
        <v>13</v>
      </c>
      <c r="AA19" s="135">
        <f t="shared" si="18"/>
        <v>19</v>
      </c>
      <c r="AB19" s="135">
        <f t="shared" si="18"/>
        <v>38</v>
      </c>
      <c r="AC19" s="135">
        <f t="shared" si="18"/>
        <v>0</v>
      </c>
      <c r="AD19" s="135">
        <f t="shared" si="18"/>
        <v>0</v>
      </c>
      <c r="AE19" s="135">
        <f t="shared" si="18"/>
        <v>0</v>
      </c>
      <c r="AF19" s="135">
        <f t="shared" si="18"/>
        <v>0</v>
      </c>
      <c r="AG19" s="135">
        <f t="shared" si="18"/>
        <v>41</v>
      </c>
      <c r="AH19" s="135">
        <f t="shared" si="18"/>
        <v>33</v>
      </c>
      <c r="AI19" s="135">
        <f t="shared" si="18"/>
        <v>23</v>
      </c>
      <c r="AJ19" s="135">
        <f t="shared" si="18"/>
        <v>51</v>
      </c>
      <c r="AK19" s="135">
        <f t="shared" si="18"/>
        <v>5</v>
      </c>
      <c r="AL19" s="135">
        <f t="shared" si="18"/>
        <v>2</v>
      </c>
      <c r="AM19" s="135">
        <f t="shared" si="18"/>
        <v>1</v>
      </c>
      <c r="AN19" s="214">
        <f t="shared" si="18"/>
        <v>6</v>
      </c>
      <c r="AO19" s="215">
        <v>3</v>
      </c>
      <c r="AP19" s="215">
        <v>2</v>
      </c>
      <c r="AQ19" s="215">
        <v>2</v>
      </c>
      <c r="AR19" s="215">
        <v>2</v>
      </c>
      <c r="AS19" s="157">
        <f t="shared" si="18"/>
        <v>0</v>
      </c>
      <c r="AT19" s="157">
        <f t="shared" si="18"/>
        <v>0</v>
      </c>
      <c r="AU19" s="215"/>
      <c r="AV19" s="216"/>
      <c r="AW19" s="215"/>
      <c r="AX19" s="216"/>
      <c r="AY19" s="134">
        <f>SUBTOTAL(9,AY9:AY18)</f>
        <v>1183</v>
      </c>
      <c r="AZ19" s="135">
        <f>SUBTOTAL(9,AZ9:AZ18)</f>
        <v>948</v>
      </c>
      <c r="BA19" s="135">
        <f>SUBTOTAL(9,BA9:BA18)</f>
        <v>858</v>
      </c>
      <c r="BB19" s="135">
        <f>SUBTOTAL(9,BB9:BB18)</f>
        <v>1273</v>
      </c>
      <c r="BC19" s="136">
        <f>SUBTOTAL(9,BC9:BC18)</f>
        <v>141</v>
      </c>
      <c r="BD19" s="217">
        <f>IF(ISNUMBER(BA19/AZ19),BA19/AZ19," - ")</f>
        <v>0.90506329113924056</v>
      </c>
      <c r="BE19" s="214">
        <f>IF(ISNUMBER(BB19/BA19),BB19/BA19, " - ")</f>
        <v>1.4836829836829837</v>
      </c>
      <c r="BF19" s="214">
        <f>IF(ISNUMBER(BC19/BA19),BC19/BA19, " - ")</f>
        <v>0.16433566433566432</v>
      </c>
      <c r="BG19" s="136">
        <f>IF(ISNUMBER((AY19+AZ19)/BA19),(AY19+AZ19)/BA19," - ")</f>
        <v>2.4836829836829839</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0am+vVM+nhuYGjqqd/U/b5ak/s2CdGNbmyDYTHvTdzmL8eSU/M1OsRYO3vYXYXxXFl2SMa84eyyuFa3pEu55cw==" saltValue="C2Htjhi7fcNxJys4OvaUr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TEREuKEV6XnfJ1MQjYeF7n/nVuBVTh16tafe2Hbu6wLxHW9c/zFZ6+59Ofnn9RbroThsWxgZ/wSuLGFLqfZGg==" saltValue="5S8cIDcqCYgiXQmeNC6pB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JAEN  Resumenes por Partidos Judiciales  MARTOS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1</v>
      </c>
      <c r="AG10" s="503"/>
      <c r="AH10" s="503"/>
      <c r="AI10" s="503"/>
      <c r="AJ10" s="503"/>
      <c r="AK10" s="503"/>
      <c r="AL10" s="504"/>
      <c r="AM10" s="671">
        <f>IF(ISNUMBER(Datos!R10),Datos!R10," - ")</f>
        <v>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0.66666666666666663</v>
      </c>
      <c r="BH10" s="669">
        <f>IF(ISNUMBER(((Datos!L10/Datos!K10)*11)/factor_trimestre),((Datos!L10/Datos!K10)*11)/factor_trimestre," - ")</f>
        <v>1.5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13</v>
      </c>
      <c r="O12" s="503"/>
      <c r="P12" s="503"/>
      <c r="Q12" s="501">
        <f>IF(ISNUMBER(Datos!P12),Datos!P12,0)</f>
        <v>121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38</v>
      </c>
      <c r="AI12" s="503" t="str">
        <f>IF(ISNUMBER(Datos!CD12),Datos!CD12,"-")</f>
        <v>-</v>
      </c>
      <c r="AJ12" s="503" t="str">
        <f>IF(ISNUMBER(Datos!EN12),Datos!EN12," - ")</f>
        <v xml:space="preserve"> - </v>
      </c>
      <c r="AK12" s="503"/>
      <c r="AL12" s="504"/>
      <c r="AM12" s="671">
        <f>IF(ISNUMBER(Datos!R12),Datos!R12," - ")</f>
        <v>1571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107</v>
      </c>
      <c r="BD12" s="619">
        <f>IF(ISNUMBER(Datos!N12),Datos!N12," - ")</f>
        <v>83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0.57042253521126762</v>
      </c>
      <c r="BH12" s="669">
        <f>IF(ISNUMBER(((IF(J_V="SI",Datos!L12/Datos!K12,(Datos!L12+Datos!AB12)/(Datos!K12+Datos!AA12)))*11)/factor_trimestre),((IF(J_V="SI",Datos!L12/Datos!K12,(Datos!L12+Datos!AB12)/(Datos!K12+Datos!AA12)))*11)/factor_trimestre," - ")</f>
        <v>12.75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5.4362416107382551E-2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13</v>
      </c>
      <c r="O13" s="1046">
        <f t="shared" si="0"/>
        <v>0</v>
      </c>
      <c r="P13" s="1046">
        <f t="shared" si="0"/>
        <v>0</v>
      </c>
      <c r="Q13" s="1045">
        <f t="shared" si="0"/>
        <v>121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40</v>
      </c>
      <c r="AD13" s="1045">
        <f t="shared" si="1"/>
        <v>0</v>
      </c>
      <c r="AE13" s="1045">
        <f t="shared" si="1"/>
        <v>0</v>
      </c>
      <c r="AF13" s="1045">
        <f t="shared" si="1"/>
        <v>1</v>
      </c>
      <c r="AG13" s="1045">
        <f t="shared" si="1"/>
        <v>0</v>
      </c>
      <c r="AH13" s="1045">
        <f t="shared" si="1"/>
        <v>38</v>
      </c>
      <c r="AI13" s="1045">
        <f t="shared" si="1"/>
        <v>0</v>
      </c>
      <c r="AJ13" s="1045">
        <f t="shared" si="1"/>
        <v>0</v>
      </c>
      <c r="AK13" s="1045">
        <f t="shared" si="1"/>
        <v>0</v>
      </c>
      <c r="AL13" s="1045">
        <f t="shared" si="1"/>
        <v>0</v>
      </c>
      <c r="AM13" s="1045">
        <f t="shared" si="1"/>
        <v>1574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107</v>
      </c>
      <c r="BD13" s="1045">
        <f t="shared" si="1"/>
        <v>83</v>
      </c>
      <c r="BE13" s="1045">
        <f t="shared" si="1"/>
        <v>0</v>
      </c>
      <c r="BF13" s="1045">
        <f t="shared" si="1"/>
        <v>0</v>
      </c>
      <c r="BG13" s="1045">
        <f>IF(ISNUMBER(Datos!K13/Datos!J13),Datos!K13/Datos!J13," - ")</f>
        <v>0.55017921146953408</v>
      </c>
      <c r="BH13" s="1049">
        <f>IF(ISNUMBER(((Datos!L13/Datos!K13)*11)/factor_trimestre),((Datos!L13/Datos!K13)*11)/factor_trimestre," - ")</f>
        <v>13.094462540716613</v>
      </c>
      <c r="BI13" s="1045">
        <f>IF(ISNUMBER('Resol  Asuntos'!D13/NºAsuntos!G13),'Resol  Asuntos'!D13/NºAsuntos!G13," - ")</f>
        <v>0.32822085889570551</v>
      </c>
      <c r="BJ13" s="1045" t="str">
        <f>IF(ISNUMBER(Datos!CI13/Datos!CJ13),Datos!CI13/Datos!CJ13," - ")</f>
        <v xml:space="preserve"> - </v>
      </c>
      <c r="BK13" s="1045">
        <f>SUBTOTAL(9,BK8:BK12)</f>
        <v>0</v>
      </c>
      <c r="BL13" s="1045" t="str">
        <f>IF(ISNUMBER((I13-AB13+L13)/(F13)),(I13-AB13+L13)/(F13)," - ")</f>
        <v xml:space="preserve"> - </v>
      </c>
      <c r="BM13" s="1050">
        <f>SUBTOTAL(9,BM9:BM12)</f>
        <v>5.4362416107382551E-2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473</v>
      </c>
      <c r="G16" s="650">
        <f>IF(ISNUMBER(IF(D_I="SI",Datos!I16,Datos!I16+Datos!AC16)),IF(D_I="SI",Datos!I16,Datos!I16+Datos!AC16)," - ")</f>
        <v>473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671</v>
      </c>
      <c r="AC16" s="230">
        <f>IF(ISNUMBER(Datos!Q16),Datos!Q16," - ")</f>
        <v>12</v>
      </c>
      <c r="AD16" s="343"/>
      <c r="AE16" s="515"/>
      <c r="AF16" s="648">
        <f>IF(ISNUMBER(IF(D_I="SI",Datos!L16,Datos!L16+Datos!AF16)),IF(D_I="SI",Datos!L16,Datos!L16+Datos!AF16)," - ")</f>
        <v>516</v>
      </c>
      <c r="AG16" s="343"/>
      <c r="AH16" s="343"/>
      <c r="AI16" s="343"/>
      <c r="AJ16" s="503"/>
      <c r="AK16" s="343"/>
      <c r="AL16" s="499"/>
      <c r="AM16" s="344">
        <f>IF(ISNUMBER(Datos!R16),Datos!R16," - ")</f>
        <v>64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91</v>
      </c>
      <c r="BD16" s="233">
        <f>IF(ISNUMBER(Datos!N16),Datos!N16," - ")</f>
        <v>442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0.93977591036414565</v>
      </c>
      <c r="BH16" s="669">
        <f>IF(ISNUMBER(((IF(D_I="SI",Datos!L16/Datos!K16,(Datos!L16+Datos!AF16)/(Datos!K16+Datos!AE16)))*11)/factor_trimestre),((IF(D_I="SI",Datos!L16/Datos!K16,(Datos!L16+Datos!AF16)/(Datos!K16+Datos!AE16)))*11)/factor_trimestre," - ")</f>
        <v>2.3070044709388973</v>
      </c>
      <c r="BI16" s="247">
        <f>IF(ISNUMBER('Resol  Asuntos'!D16/NºAsuntos!G16),'Resol  Asuntos'!D16/NºAsuntos!G16," - ")</f>
        <v>0.13561847988077497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70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97</v>
      </c>
      <c r="AC17" s="501">
        <f>IF(ISNUMBER(Datos!Q17),Datos!Q17," - ")</f>
        <v>0</v>
      </c>
      <c r="AD17" s="503"/>
      <c r="AE17" s="515"/>
      <c r="AF17" s="505">
        <f>IF(ISNUMBER(Datos!L17),Datos!L17,"-")</f>
        <v>89</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15</v>
      </c>
      <c r="BD17" s="619">
        <f>IF(ISNUMBER(Datos!N17),Datos!N17," - ")</f>
        <v>72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0.83620689655172409</v>
      </c>
      <c r="BH17" s="669">
        <f>IF(ISNUMBER(((IF(D_I="SI",Datos!L17/Datos!K17,(Datos!L17+Datos!AF17)/(Datos!K17+Datos!AE17)))*11)/factor_trimestre),((IF(D_I="SI",Datos!L17/Datos!K17,(Datos!L17+Datos!AF17)/(Datos!K17+Datos!AE17)))*11)/factor_trimestre," - ")</f>
        <v>2.7525773195876289</v>
      </c>
      <c r="BI17" s="668">
        <f>IF(ISNUMBER('Resol  Asuntos'!D17/NºAsuntos!G17),'Resol  Asuntos'!D17/NºAsuntos!G17," - ")</f>
        <v>0.15463917525773196</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473</v>
      </c>
      <c r="G18" s="1044">
        <f>SUBTOTAL(9,G15:G17)</f>
        <v>543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768</v>
      </c>
      <c r="AC18" s="1045">
        <f t="shared" si="4"/>
        <v>12</v>
      </c>
      <c r="AD18" s="1045">
        <f t="shared" si="4"/>
        <v>0</v>
      </c>
      <c r="AE18" s="1045">
        <f t="shared" si="4"/>
        <v>0</v>
      </c>
      <c r="AF18" s="1045">
        <f t="shared" si="4"/>
        <v>605</v>
      </c>
      <c r="AG18" s="1045">
        <f t="shared" si="4"/>
        <v>0</v>
      </c>
      <c r="AH18" s="1045">
        <f t="shared" si="4"/>
        <v>0</v>
      </c>
      <c r="AI18" s="1045">
        <f t="shared" si="4"/>
        <v>0</v>
      </c>
      <c r="AJ18" s="1045">
        <f t="shared" si="4"/>
        <v>0</v>
      </c>
      <c r="AK18" s="1045">
        <f t="shared" si="4"/>
        <v>0</v>
      </c>
      <c r="AL18" s="1045">
        <f t="shared" si="4"/>
        <v>0</v>
      </c>
      <c r="AM18" s="1045">
        <f t="shared" si="4"/>
        <v>64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106</v>
      </c>
      <c r="BD18" s="1045">
        <f t="shared" si="4"/>
        <v>514</v>
      </c>
      <c r="BE18" s="1045">
        <f t="shared" si="4"/>
        <v>0</v>
      </c>
      <c r="BF18" s="1045">
        <f t="shared" si="4"/>
        <v>0</v>
      </c>
      <c r="BG18" s="1045">
        <f>IF(ISNUMBER(Datos!K18/Datos!J18),Datos!K18/Datos!J18," - ")</f>
        <v>0.92530120481927713</v>
      </c>
      <c r="BH18" s="1049">
        <f>IF(ISNUMBER(((Datos!L18/Datos!K18)*11)/factor_trimestre),((Datos!L18/Datos!K18)*11)/factor_trimestre," - ")</f>
        <v>2.3632812499999996</v>
      </c>
      <c r="BI18" s="1045">
        <f>SUBTOTAL(9,BI15:BI17)</f>
        <v>0.29025765513850693</v>
      </c>
      <c r="BJ18" s="1045">
        <f>SUBTOTAL(9,BJ15:BJ17)</f>
        <v>0</v>
      </c>
      <c r="BK18" s="1045">
        <f>SUBTOTAL(9,BK15:BK17)</f>
        <v>0</v>
      </c>
      <c r="BL18" s="1045">
        <f>IF(ISNUMBER((I18-AB18+L18)/(F18)),(I18-AB18+L18)/(F18)," - ")</f>
        <v>-1.6236786469344608</v>
      </c>
      <c r="BM18" s="1051">
        <f>IF(ISNUMBER((Datos!P18-Datos!Q18)/(Datos!R18-Datos!P18+Datos!Q18)),(Datos!P18-Datos!Q18)/(Datos!R18-Datos!P18+Datos!Q18)," - ")</f>
        <v>0.18518518518518517</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473</v>
      </c>
      <c r="G19" s="966">
        <f t="shared" si="6"/>
        <v>543</v>
      </c>
      <c r="H19" s="968">
        <f t="shared" si="6"/>
        <v>0</v>
      </c>
      <c r="I19" s="966">
        <f t="shared" si="6"/>
        <v>0</v>
      </c>
      <c r="J19" s="968">
        <f t="shared" si="6"/>
        <v>0</v>
      </c>
      <c r="K19" s="968">
        <f t="shared" si="6"/>
        <v>0</v>
      </c>
      <c r="L19" s="1027">
        <f t="shared" si="6"/>
        <v>0</v>
      </c>
      <c r="M19" s="1027">
        <f t="shared" si="6"/>
        <v>0</v>
      </c>
      <c r="N19" s="1027">
        <f t="shared" si="6"/>
        <v>13</v>
      </c>
      <c r="O19" s="1027">
        <f t="shared" si="6"/>
        <v>0</v>
      </c>
      <c r="P19" s="1027">
        <f t="shared" si="6"/>
        <v>0</v>
      </c>
      <c r="Q19" s="968">
        <f t="shared" si="6"/>
        <v>143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770</v>
      </c>
      <c r="AC19" s="967">
        <f t="shared" si="7"/>
        <v>52</v>
      </c>
      <c r="AD19" s="967">
        <f t="shared" si="7"/>
        <v>0</v>
      </c>
      <c r="AE19" s="967">
        <f t="shared" si="7"/>
        <v>0</v>
      </c>
      <c r="AF19" s="974">
        <f t="shared" si="7"/>
        <v>606</v>
      </c>
      <c r="AG19" s="974">
        <f t="shared" si="7"/>
        <v>0</v>
      </c>
      <c r="AH19" s="974">
        <f t="shared" si="7"/>
        <v>38</v>
      </c>
      <c r="AI19" s="974">
        <f t="shared" si="7"/>
        <v>0</v>
      </c>
      <c r="AJ19" s="967">
        <f t="shared" si="7"/>
        <v>0</v>
      </c>
      <c r="AK19" s="974">
        <f t="shared" si="7"/>
        <v>0</v>
      </c>
      <c r="AL19" s="974">
        <f t="shared" si="7"/>
        <v>0</v>
      </c>
      <c r="AM19" s="974">
        <f t="shared" si="7"/>
        <v>1638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213</v>
      </c>
      <c r="BD19" s="966">
        <f t="shared" si="7"/>
        <v>597</v>
      </c>
      <c r="BE19" s="966">
        <f t="shared" si="7"/>
        <v>0</v>
      </c>
      <c r="BF19" s="976">
        <f t="shared" si="7"/>
        <v>0</v>
      </c>
      <c r="BG19" s="1061">
        <f>IF(ISNUMBER(Datos!K19/Datos!J19),Datos!K19/Datos!J19," - ")</f>
        <v>0.77449567723342938</v>
      </c>
      <c r="BH19" s="1061">
        <f>IF(ISNUMBER(((Datos!L19/Datos!K19)*11)/factor_trimestre),((Datos!L19/Datos!K19)*11)/factor_trimestre," - ")</f>
        <v>5.4279069767441861</v>
      </c>
      <c r="BI19" s="959">
        <f>IF(ISNUMBER(Datos!J19/Datos!I19),Datos!J19/Datos!I19," - ")</f>
        <v>0.85049019607843135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-1.6279069767441861</v>
      </c>
      <c r="BM19" s="1035">
        <f>IF(ISNUMBER((Datos!P19-Datos!Q19+R19)/(Datos!R19-Datos!P19+Datos!Q19-R19)),(Datos!P19-Datos!Q19+R19)/(Datos!R19-Datos!P19+Datos!Q19-R19)," - ")</f>
        <v>5.8823529411764705E-2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217.2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273.08667732669295</v>
      </c>
      <c r="G21" s="600">
        <f>IF(ISNUMBER(STDEV(G8:G18)),STDEV(G8:G18),"-")</f>
        <v>268.14119414964944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379.19717825954348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49.787548644214247</v>
      </c>
      <c r="BD21" s="599"/>
      <c r="BE21" s="599">
        <f>IF(ISNUMBER(STDEV(BE8:BE18)),STDEV(BE8:BE18),"-")</f>
        <v>0</v>
      </c>
      <c r="BF21" s="604">
        <f>IF(ISNUMBER(STDEV(BF8:BF18)),STDEV(BF8:BF18),"-")</f>
        <v>0</v>
      </c>
      <c r="BG21" s="914">
        <f>IF(ISNUMBER(STDEV(BG8:BG18)),STDEV(BG8:BG18),"-")</f>
        <v>0.17508629543749266</v>
      </c>
      <c r="BH21" s="918">
        <f>IF(ISNUMBER(STDEV(BH8:BH18)),STDEV(BH8:BH18),"-")</f>
        <v>5.537153498818296</v>
      </c>
      <c r="BI21" s="253">
        <f>IF(ISNUMBER(STDEV(BI8:BI18)),STDEV(BI8:BI18),"-")</f>
        <v>9.6321906299701512E-2</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nnqIvkImDQMuPN87vw/9AM66pLcNPI7AVze/rVkRbAibY6r7Rz9qT6C85AamNdeaYJKMwjOeFDCooOw9EHUtmQ==" saltValue="3H+LfHO5wsr1JJSw/Vt5f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JAEN  Resumenes por Partidos Judiciales  MARTOS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1</v>
      </c>
      <c r="AB10" s="503"/>
      <c r="AC10" s="503"/>
      <c r="AD10" s="516"/>
      <c r="AE10" s="516">
        <f>IF(ISNUMBER(Datos!R10),Datos!R10," - ")</f>
        <v>3</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121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40</v>
      </c>
      <c r="AA12" s="505" t="str">
        <f>IF(ISNUMBER(IF(J_V="SI",Datos!L12,Datos!L12+Datos!AB12)-IF(Monitorios="SI",Datos!CD12,0)),
                          IF(J_V="SI",Datos!L12,Datos!L12+Datos!AB12)-IF(Monitorios="SI",Datos!CD12,0),
                          " - ")</f>
        <v xml:space="preserve"> - </v>
      </c>
      <c r="AB12" s="503"/>
      <c r="AC12" s="503"/>
      <c r="AD12" s="516"/>
      <c r="AE12" s="516">
        <f>IF(ISNUMBER(Datos!R12),Datos!R12," - ")</f>
        <v>1571</v>
      </c>
      <c r="AF12" s="619" t="str">
        <f>IF(ISNUMBER(Datos!BV12),Datos!BV12," - ")</f>
        <v xml:space="preserve"> - </v>
      </c>
      <c r="AG12" s="506" t="str">
        <f>IF(ISNUMBER(Datos!DV12),Datos!DV12," - ")</f>
        <v xml:space="preserve"> - </v>
      </c>
      <c r="AH12" s="507"/>
      <c r="AI12" s="508"/>
      <c r="AJ12" s="506">
        <f>IF(ISNUMBER(Datos!M12),Datos!M12," - ")</f>
        <v>107</v>
      </c>
      <c r="AK12" s="619">
        <f>IF(ISNUMBER(Datos!N12),Datos!N12," - ")</f>
        <v>83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12.75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5.4362416107382551E-2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121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40</v>
      </c>
      <c r="AA13" s="1046">
        <f t="shared" si="2"/>
        <v>1</v>
      </c>
      <c r="AB13" s="1046">
        <f t="shared" si="2"/>
        <v>0</v>
      </c>
      <c r="AC13" s="1046">
        <f t="shared" si="2"/>
        <v>0</v>
      </c>
      <c r="AD13" s="1046">
        <f t="shared" si="2"/>
        <v>0</v>
      </c>
      <c r="AE13" s="1046">
        <f t="shared" si="2"/>
        <v>1574</v>
      </c>
      <c r="AF13" s="1054">
        <f t="shared" si="2"/>
        <v>0</v>
      </c>
      <c r="AG13" s="1054">
        <f t="shared" si="2"/>
        <v>0</v>
      </c>
      <c r="AH13" s="1054">
        <f t="shared" si="2"/>
        <v>0</v>
      </c>
      <c r="AI13" s="1054">
        <f t="shared" si="2"/>
        <v>0</v>
      </c>
      <c r="AJ13" s="1054">
        <f t="shared" si="2"/>
        <v>107</v>
      </c>
      <c r="AK13" s="1054">
        <f t="shared" si="2"/>
        <v>83</v>
      </c>
      <c r="AL13" s="1054">
        <f t="shared" si="2"/>
        <v>0</v>
      </c>
      <c r="AM13" s="1054">
        <f t="shared" si="2"/>
        <v>0</v>
      </c>
      <c r="AN13" s="1054">
        <f t="shared" si="2"/>
        <v>0</v>
      </c>
      <c r="AO13" s="1050">
        <f>IF(ISNUMBER(((NºAsuntos!I13/NºAsuntos!G13)*11)/factor_trimestre),((NºAsuntos!I13/NºAsuntos!G13)*11)/factor_trimestre," - ")</f>
        <v>12.680981595092025</v>
      </c>
      <c r="AP13" s="1056" t="str">
        <f>IF(ISNUMBER(Datos!CI13/Datos!CJ13),Datos!CI13/Datos!CJ13," - ")</f>
        <v xml:space="preserve"> - </v>
      </c>
      <c r="AQ13" s="1074">
        <f t="shared" ref="AQ13:AV13" si="3">SUBTOTAL(9,AQ9:AQ12)</f>
        <v>0</v>
      </c>
      <c r="AR13" s="1074">
        <f t="shared" si="3"/>
        <v>5.4362416107382551E-2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473</v>
      </c>
      <c r="G16" s="506">
        <f>IF(ISNUMBER(IF(D_I="SI",Datos!I16,Datos!I16+Datos!AC16)),IF(D_I="SI",Datos!I16,Datos!I16+Datos!AC16)," - ")</f>
        <v>473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671</v>
      </c>
      <c r="Z16" s="703">
        <f>IF(ISNUMBER(Datos!Q16),Datos!Q16," - ")</f>
        <v>12</v>
      </c>
      <c r="AA16" s="505">
        <f>IF(ISNUMBER(IF(D_I="SI",Datos!L16,Datos!L16+Datos!AF16)),IF(D_I="SI",Datos!L16,Datos!L16+Datos!AF16)," - ")</f>
        <v>516</v>
      </c>
      <c r="AB16" s="503"/>
      <c r="AC16" s="503"/>
      <c r="AD16" s="516"/>
      <c r="AE16" s="516">
        <f>IF(ISNUMBER(Datos!R16),Datos!R16," - ")</f>
        <v>64</v>
      </c>
      <c r="AF16" s="619" t="str">
        <f>IF(ISNUMBER(Datos!BV16),Datos!BV16," - ")</f>
        <v xml:space="preserve"> - </v>
      </c>
      <c r="AG16" s="506"/>
      <c r="AH16" s="507"/>
      <c r="AI16" s="508"/>
      <c r="AJ16" s="506">
        <f>IF(ISNUMBER(Datos!M16),Datos!M16," - ")</f>
        <v>91</v>
      </c>
      <c r="AK16" s="619">
        <f>IF(ISNUMBER(Datos!N16),Datos!N16," - ")</f>
        <v>442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2.3070044709388973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70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97</v>
      </c>
      <c r="Z17" s="703">
        <f>IF(ISNUMBER(Datos!Q17),Datos!Q17," - ")</f>
        <v>0</v>
      </c>
      <c r="AA17" s="505">
        <f>IF(ISNUMBER(Datos!L17),Datos!L17,"-")</f>
        <v>89</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15</v>
      </c>
      <c r="AK17" s="619">
        <f>IF(ISNUMBER(Datos!N17),Datos!N17," - ")</f>
        <v>72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2.7525773195876289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473</v>
      </c>
      <c r="G18" s="1044">
        <f>SUBTOTAL(9,G15:G17)</f>
        <v>543</v>
      </c>
      <c r="H18" s="1078">
        <f>SUBTOTAL(9,H15:H17)</f>
        <v>0</v>
      </c>
      <c r="I18" s="1057">
        <f>SUBTOTAL(9,I15:I17)</f>
        <v>0</v>
      </c>
      <c r="J18" s="1013">
        <f>SUBTOTAL(9,J14:J17)</f>
        <v>0</v>
      </c>
      <c r="K18" s="1078">
        <f t="shared" ref="K18:S18" si="4">SUBTOTAL(9,K15:K17)</f>
        <v>0</v>
      </c>
      <c r="L18" s="1078">
        <f t="shared" si="4"/>
        <v>0</v>
      </c>
      <c r="M18" s="1078">
        <f t="shared" si="4"/>
        <v>0</v>
      </c>
      <c r="N18" s="1078">
        <f t="shared" si="4"/>
        <v>22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768</v>
      </c>
      <c r="Z18" s="1078">
        <f t="shared" si="5"/>
        <v>12</v>
      </c>
      <c r="AA18" s="1078">
        <f t="shared" si="5"/>
        <v>605</v>
      </c>
      <c r="AB18" s="1078">
        <f t="shared" si="5"/>
        <v>0</v>
      </c>
      <c r="AC18" s="1078">
        <f t="shared" si="5"/>
        <v>0</v>
      </c>
      <c r="AD18" s="1078">
        <f t="shared" si="5"/>
        <v>0</v>
      </c>
      <c r="AE18" s="1078">
        <f t="shared" si="5"/>
        <v>64</v>
      </c>
      <c r="AF18" s="1078">
        <f t="shared" si="5"/>
        <v>0</v>
      </c>
      <c r="AG18" s="1078">
        <f t="shared" si="5"/>
        <v>0</v>
      </c>
      <c r="AH18" s="1078">
        <f t="shared" si="5"/>
        <v>0</v>
      </c>
      <c r="AI18" s="1078">
        <f t="shared" si="5"/>
        <v>0</v>
      </c>
      <c r="AJ18" s="1078">
        <f t="shared" si="5"/>
        <v>106</v>
      </c>
      <c r="AK18" s="1078">
        <f t="shared" si="5"/>
        <v>514</v>
      </c>
      <c r="AL18" s="1078">
        <f t="shared" si="5"/>
        <v>0</v>
      </c>
      <c r="AM18" s="1078">
        <f t="shared" si="5"/>
        <v>0</v>
      </c>
      <c r="AN18" s="1078">
        <f t="shared" si="5"/>
        <v>0</v>
      </c>
      <c r="AO18" s="1080">
        <f>IF(ISNUMBER(((NºAsuntos!I18/NºAsuntos!G18)*11)/factor_trimestre),((NºAsuntos!I18/NºAsuntos!G18)*11)/factor_trimestre," - ")</f>
        <v>2.3632812499999996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473</v>
      </c>
      <c r="G19" s="966">
        <f t="shared" si="7"/>
        <v>543</v>
      </c>
      <c r="H19" s="967">
        <f t="shared" si="7"/>
        <v>0</v>
      </c>
      <c r="I19" s="966">
        <f t="shared" si="7"/>
        <v>0</v>
      </c>
      <c r="J19" s="968">
        <f t="shared" si="7"/>
        <v>0</v>
      </c>
      <c r="K19" s="966">
        <f t="shared" si="7"/>
        <v>0</v>
      </c>
      <c r="L19" s="969">
        <f t="shared" si="7"/>
        <v>0</v>
      </c>
      <c r="M19" s="966">
        <f t="shared" si="7"/>
        <v>0</v>
      </c>
      <c r="N19" s="967">
        <f t="shared" si="7"/>
        <v>143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770</v>
      </c>
      <c r="Z19" s="973">
        <f t="shared" si="8"/>
        <v>52</v>
      </c>
      <c r="AA19" s="974">
        <f t="shared" si="8"/>
        <v>606</v>
      </c>
      <c r="AB19" s="974">
        <f t="shared" si="8"/>
        <v>0</v>
      </c>
      <c r="AC19" s="974">
        <f t="shared" si="8"/>
        <v>0</v>
      </c>
      <c r="AD19" s="975">
        <f t="shared" si="8"/>
        <v>0</v>
      </c>
      <c r="AE19" s="975">
        <f t="shared" si="8"/>
        <v>1638</v>
      </c>
      <c r="AF19" s="976">
        <f t="shared" si="8"/>
        <v>0</v>
      </c>
      <c r="AG19" s="977">
        <f t="shared" si="8"/>
        <v>0</v>
      </c>
      <c r="AH19" s="978">
        <f t="shared" si="8"/>
        <v>0</v>
      </c>
      <c r="AI19" s="976">
        <f t="shared" si="8"/>
        <v>0</v>
      </c>
      <c r="AJ19" s="966">
        <f t="shared" si="8"/>
        <v>213</v>
      </c>
      <c r="AK19" s="966">
        <f t="shared" si="8"/>
        <v>597</v>
      </c>
      <c r="AL19" s="966">
        <f t="shared" si="8"/>
        <v>0</v>
      </c>
      <c r="AM19" s="979">
        <f t="shared" si="8"/>
        <v>0</v>
      </c>
      <c r="AN19" s="969">
        <f>IF(ISNUMBER(Datos!K19/Datos!J19),Datos!K19/Datos!J19," - ")</f>
        <v>0.77449567723342938</v>
      </c>
      <c r="AO19" s="969">
        <f>IF(ISNUMBER(FIND("06",Criterios!A8,1)),(IF(ISNUMBER(((Datos!R19/Datos!Q19)*11)/factor_trimestre),((Datos!R19/Datos!Q19)*11)/factor_trimestre," - ")),(IF(ISNUMBER(((Datos!L19/Datos!K19)*11)/factor_trimestre),((Datos!L19/Datos!K19)*11)/factor_trimestre," - ")))</f>
        <v>5.4279069767441861</v>
      </c>
      <c r="AP19" s="980" t="str">
        <f>IF(ISNUMBER(Datos!CI19/Datos!CJ19),Datos!CI19/Datos!CJ19," - ")</f>
        <v xml:space="preserve"> - </v>
      </c>
      <c r="AQ19" s="980">
        <f>IF(OR(ISNUMBER(FIND("01",Criterios!A8,1)),ISNUMBER(FIND("02",Criterios!A8,1)),ISNUMBER(FIND("03",Criterios!A8,1)),ISNUMBER(FIND("04",Criterios!A8,1))),(J19-Y19+K19)/(F19-K19),(I19-Y19+K19)/(F19-K19))</f>
        <v>-1.6279069767441861</v>
      </c>
      <c r="AR19" s="980">
        <f>IF(ISNUMBER((Datos!P19-Datos!Q19+O19)/(Datos!R19-Datos!P19+Datos!Q19-O19)),(Datos!P19-Datos!Q19+O19)/(Datos!R19-Datos!P19+Datos!Q19-O19)," - ")</f>
        <v>5.8823529411764705E-2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217.2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273.08667732669295</v>
      </c>
      <c r="G21" s="600">
        <f>IF(ISNUMBER(STDEV(G8:G18)),STDEV(G8:G18),"-")</f>
        <v>268.14119414964944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49.787548644214247</v>
      </c>
      <c r="AK21" s="256"/>
      <c r="AL21" s="256">
        <f>IF(ISNUMBER(STDEV(AL8:AL18)),STDEV(AL8:AL18),"-")</f>
        <v>0</v>
      </c>
      <c r="AM21" s="258">
        <f>IF(ISNUMBER(STDEV(AM8:AM18)),STDEV(AM8:AM18),"-")</f>
        <v>0</v>
      </c>
      <c r="AN21" s="586">
        <f>IF(ISNUMBER(STDEV(AN8:AN18)),STDEV(AN8:AN18),"-")</f>
        <v>0</v>
      </c>
      <c r="AO21" s="587">
        <f>IF(ISNUMBER(STDEV(AO8:AO18)),STDEV(AO8:AO18),"-")</f>
        <v>5.429660587357831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fGpMOrqA525K4M3UtP9xCtVTtgxmn0Nd5k6mJbBAIubqogHDA6dKDjNhPcVKzcyHtdwIUCZ+kTxm52W2fzS6xg==" saltValue="BtT+2L7hUe05q+vY+6LOs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I2QJtfDPs6jLM295e/2aH6BpHH1QLer48wA3arozmxYZlOj4Ho+gLn2/uzDrTSQ7MCMd2u7I0akRTRCrywOFJw==" saltValue="/b5bWOfBDu4FWViegVEW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Wf9m1gR36bwVd0MvY8+9vnVdNDji8yksokwXKnA5thMr2q4ICU34EaUuTQRC//PpwWzI0hGYPyoVHYEXqOB5Q==" saltValue="0gfCysKQ3Fw5qbRW2lCIl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JAEN  Resumenes por Partidos Judiciales  MARTOS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0.32822085889570551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0.23208719505202632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G62Wp+K7XzydtmlzqjiOALJt6o6IOWgdEoLwU9O1PTw8QYDMkvxY0LHQOigao4jblNwsrqQmryyATWjv1ll9zg==" saltValue="/cUEEZC6ObzLBXoWj3Am6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uZwOAlSDjb0UiB5/9AecMTIXVIlr1RJw/z3y5HZTSK5HriBgwlEp+GLNh6OC+F3hbVvlUQGW2UKNlqpFy5Wog==" saltValue="/M8+9E5rncT40Ma/ZmdUn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JAEN</v>
      </c>
      <c r="D3" s="399"/>
      <c r="E3" s="399"/>
      <c r="F3" s="399"/>
    </row>
    <row r="4" spans="1:14" ht="13.5" thickBot="1">
      <c r="A4" s="399"/>
      <c r="B4" s="402" t="str">
        <f>Criterios!A11 &amp;"  "&amp;Criterios!B11</f>
        <v>Resumenes por Partidos Judiciales  MARTOS</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3</v>
      </c>
      <c r="F10" s="415">
        <f>IF(ISNUMBER(E10/B10),E10/B10," - ")</f>
        <v>3</v>
      </c>
      <c r="G10" s="414">
        <f>IF(ISNUMBER(Datos!K10),Datos!K10," - ")</f>
        <v>2</v>
      </c>
      <c r="H10" s="415">
        <f>IF(ISNUMBER(G10/B10),G10/B10," - ")</f>
        <v>2</v>
      </c>
      <c r="I10" s="414">
        <f>IF(ISNUMBER(Datos!L10),Datos!L10," - ")</f>
        <v>1</v>
      </c>
      <c r="J10" s="415">
        <f>IF(ISNUMBER(I10/B10),I10/B10," - ")</f>
        <v>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1133</v>
      </c>
      <c r="D12" s="415">
        <f>IF(ISNUMBER(C12/Datos!BH12),C12/Datos!BH12," - ")</f>
        <v>566.5</v>
      </c>
      <c r="E12" s="414">
        <f>IF(ISNUMBER(IF(J_V="SI",Datos!J12,Datos!J12+Datos!Z12)),IF(J_V="SI",Datos!J12,Datos!J12+Datos!Z12)," - ")</f>
        <v>568</v>
      </c>
      <c r="F12" s="415">
        <f>IF(ISNUMBER(E12/B12),E12/B12," - ")</f>
        <v>284</v>
      </c>
      <c r="G12" s="414">
        <f>IF(ISNUMBER(IF(J_V="SI",Datos!K12,Datos!K12+Datos!AA12)),IF(J_V="SI",Datos!K12,Datos!K12+Datos!AA12)," - ")</f>
        <v>324</v>
      </c>
      <c r="H12" s="415">
        <f>IF(ISNUMBER(G12/B12),G12/B12," - ")</f>
        <v>162</v>
      </c>
      <c r="I12" s="414">
        <f>IF(ISNUMBER(IF(J_V="SI",Datos!L12,Datos!L12+Datos!AB12)),IF(J_V="SI",Datos!L12,Datos!L12+Datos!AB12)," - ")</f>
        <v>1377</v>
      </c>
      <c r="J12" s="415">
        <f>IF(ISNUMBER(I12/B12),I12/B12," - ")</f>
        <v>688.5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1133</v>
      </c>
      <c r="D13" s="996" t="str">
        <f>IF(ISNUMBER(C13/Datos!BI13),C13/Datos!BI13," - ")</f>
        <v xml:space="preserve"> - </v>
      </c>
      <c r="E13" s="995">
        <f>SUBTOTAL(9,E8:E12)</f>
        <v>571</v>
      </c>
      <c r="F13" s="996">
        <f>IF(ISNUMBER(E13/B13),E13/B13," - ")</f>
        <v>285.5</v>
      </c>
      <c r="G13" s="995">
        <f>SUBTOTAL(9,G8:G12)</f>
        <v>326</v>
      </c>
      <c r="H13" s="996">
        <f>IF(ISNUMBER(G13/B13),G13/B13," - ")</f>
        <v>163</v>
      </c>
      <c r="I13" s="995">
        <f>SUBTOTAL(9,I8:I12)</f>
        <v>1378</v>
      </c>
      <c r="J13" s="996">
        <f>IF(ISNUMBER(I13/B13),I13/B13," - ")</f>
        <v>689</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473</v>
      </c>
      <c r="D16" s="415">
        <f>IF(ISNUMBER(C16/Datos!BH16),C16/Datos!BH16," - ")</f>
        <v>236.5</v>
      </c>
      <c r="E16" s="414">
        <f>IF(ISNUMBER(IF(D_I="SI",Datos!J16,Datos!J16+Datos!AD16)),IF(D_I="SI",Datos!J16,Datos!J16+Datos!AD16)," - ")</f>
        <v>714</v>
      </c>
      <c r="F16" s="415">
        <f>IF(ISNUMBER(E16/B16),E16/B16," - ")</f>
        <v>357</v>
      </c>
      <c r="G16" s="414">
        <f>IF(ISNUMBER(IF(D_I="SI",Datos!K16,Datos!K16+Datos!AE16)),IF(D_I="SI",Datos!K16,Datos!K16+Datos!AE16)," - ")</f>
        <v>671</v>
      </c>
      <c r="H16" s="415">
        <f>IF(ISNUMBER(G16/B16),G16/B16," - ")</f>
        <v>335.5</v>
      </c>
      <c r="I16" s="414">
        <f>IF(ISNUMBER(IF(D_I="SI",Datos!L16,Datos!L16+Datos!AF16)),IF(D_I="SI",Datos!L16,Datos!L16+Datos!AF16)," - ")</f>
        <v>516</v>
      </c>
      <c r="J16" s="415">
        <f>IF(ISNUMBER(I16/B16),I16/B16," - ")</f>
        <v>258</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70</v>
      </c>
      <c r="D17" s="415">
        <f>IF(ISNUMBER(C17/Datos!BH17),C17/Datos!BH17," - ")</f>
        <v>70</v>
      </c>
      <c r="E17" s="414">
        <f>IF(ISNUMBER(IF(D_I="SI",Datos!J17,Datos!J17+Datos!AD17)),IF(D_I="SI",Datos!J17,Datos!J17+Datos!AD17)," - ")</f>
        <v>116</v>
      </c>
      <c r="F17" s="415">
        <f>IF(ISNUMBER(E17/B17),E17/B17," - ")</f>
        <v>116</v>
      </c>
      <c r="G17" s="414">
        <f>IF(ISNUMBER(IF(D_I="SI",Datos!K17,Datos!K17+Datos!AE17)),IF(D_I="SI",Datos!K17,Datos!K17+Datos!AE17)," - ")</f>
        <v>97</v>
      </c>
      <c r="H17" s="415">
        <f>IF(ISNUMBER(G17/B17),G17/B17," - ")</f>
        <v>97</v>
      </c>
      <c r="I17" s="414">
        <f>IF(ISNUMBER(IF(D_I="SI",Datos!L17,Datos!L17+Datos!AF17)),IF(D_I="SI",Datos!L17,Datos!L17+Datos!AF17)," - ")</f>
        <v>89</v>
      </c>
      <c r="J17" s="415">
        <f>IF(ISNUMBER(I17/B17),I17/B17," - ")</f>
        <v>89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543</v>
      </c>
      <c r="D18" s="996" t="str">
        <f>IF(ISNUMBER(C18/Datos!BI18),C18/Datos!BI18," - ")</f>
        <v xml:space="preserve"> - </v>
      </c>
      <c r="E18" s="995">
        <f>SUBTOTAL(9,E14:E17)</f>
        <v>830</v>
      </c>
      <c r="F18" s="996">
        <f>IF(ISNUMBER(E18/B18),E18/B18," - ")</f>
        <v>415</v>
      </c>
      <c r="G18" s="995">
        <f>SUBTOTAL(9,G14:G17)</f>
        <v>768</v>
      </c>
      <c r="H18" s="996">
        <f>IF(ISNUMBER(G18/B18),G18/B18," - ")</f>
        <v>384</v>
      </c>
      <c r="I18" s="995">
        <f>SUBTOTAL(9,I14:I17)</f>
        <v>605</v>
      </c>
      <c r="J18" s="996">
        <f>IF(ISNUMBER(I18/B18),I18/B18," - ")</f>
        <v>302.5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1676</v>
      </c>
      <c r="D19" s="941" t="str">
        <f>IF(ISNUMBER(C19/Datos!BI19),C19/Datos!BI19," - ")</f>
        <v xml:space="preserve"> - </v>
      </c>
      <c r="E19" s="940">
        <f>SUBTOTAL(9,E9:E18)</f>
        <v>1401</v>
      </c>
      <c r="F19" s="941">
        <f>IF(ISNUMBER(E19/B19),E19/B19," - ")</f>
        <v>700.5</v>
      </c>
      <c r="G19" s="940">
        <f>SUBTOTAL(9,G9:G18)</f>
        <v>1094</v>
      </c>
      <c r="H19" s="941">
        <f>IF(ISNUMBER(G19/B19),G19/B19," - ")</f>
        <v>547</v>
      </c>
      <c r="I19" s="940">
        <f>SUBTOTAL(9,I9:I18)</f>
        <v>1983</v>
      </c>
      <c r="J19" s="941">
        <f>IF(ISNUMBER(I19/B19),I19/B19," - ")</f>
        <v>991.5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9eIAWpAklwO6iWu830oqU7jCZTh05uXz8i9rIVLfGBm1L84KQpZtcZfpzYUrh6B9EMEKWW9PnBISarMY9ED/9g==" saltValue="lc3oe7/NUgO1xTHju0BDX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JAEN  Resumenes por Partidos Judiciales  MARTOS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121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1571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107</v>
      </c>
      <c r="AM12" s="810">
        <f>IF(ISNUMBER(Datos!N12+DatosP!N16),Datos!N12+DatosP!N16," - ")</f>
        <v>83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12.75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5.4362416107382551E-2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121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40</v>
      </c>
      <c r="AE13" s="1085">
        <f t="shared" si="1"/>
        <v>0</v>
      </c>
      <c r="AF13" s="1085">
        <f t="shared" si="1"/>
        <v>1</v>
      </c>
      <c r="AG13" s="1085">
        <f t="shared" si="1"/>
        <v>0</v>
      </c>
      <c r="AH13" s="1085">
        <f t="shared" si="1"/>
        <v>1571</v>
      </c>
      <c r="AI13" s="1085">
        <f t="shared" si="1"/>
        <v>0</v>
      </c>
      <c r="AJ13" s="1085">
        <f t="shared" si="1"/>
        <v>0</v>
      </c>
      <c r="AK13" s="1085">
        <f t="shared" si="1"/>
        <v>0</v>
      </c>
      <c r="AL13" s="1085">
        <f t="shared" si="1"/>
        <v>107</v>
      </c>
      <c r="AM13" s="1085">
        <f t="shared" si="1"/>
        <v>83</v>
      </c>
      <c r="AN13" s="1085">
        <f t="shared" si="1"/>
        <v>0</v>
      </c>
      <c r="AO13" s="1085">
        <f t="shared" si="1"/>
        <v>0</v>
      </c>
      <c r="AP13" s="1090">
        <f>IF(ISNUMBER(((Datos!L13/Datos!K13)*11)/factor_trimestre),((Datos!L13/Datos!K13)*11)/factor_trimestre," - ")</f>
        <v>13.094462540716613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5.4362416107382551E-2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2.3632812499999996</v>
      </c>
      <c r="AQ18" s="1090">
        <f>IF(ISNUMBER(((Datos!M18/Datos!L18)*11)/factor_trimestre),((Datos!M18/Datos!L18)*11)/factor_trimestre," - ")</f>
        <v>0.52561983471074392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0.18518518518518517</v>
      </c>
      <c r="AW18" s="1092">
        <f>IF(ISNUMBER((Datos!Q18-Datos!R18)/(Datos!S18-Datos!Q18+Datos!R18)),(Datos!Q18-Datos!R18)/(Datos!S18-Datos!Q18+Datos!R18)," - ")</f>
        <v>-0.10136452241715399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121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40</v>
      </c>
      <c r="AE19" s="1103">
        <f t="shared" si="5"/>
        <v>0</v>
      </c>
      <c r="AF19" s="1104">
        <f t="shared" si="5"/>
        <v>1</v>
      </c>
      <c r="AG19" s="1104">
        <f t="shared" si="5"/>
        <v>0</v>
      </c>
      <c r="AH19" s="1104">
        <f t="shared" si="5"/>
        <v>1571</v>
      </c>
      <c r="AI19" s="1104">
        <f t="shared" si="5"/>
        <v>0</v>
      </c>
      <c r="AJ19" s="1105">
        <f t="shared" si="5"/>
        <v>0</v>
      </c>
      <c r="AK19" s="1105">
        <f t="shared" si="5"/>
        <v>0</v>
      </c>
      <c r="AL19" s="1097">
        <f t="shared" si="5"/>
        <v>107</v>
      </c>
      <c r="AM19" s="1097">
        <f t="shared" si="5"/>
        <v>83</v>
      </c>
      <c r="AN19" s="1097">
        <f t="shared" si="5"/>
        <v>0</v>
      </c>
      <c r="AO19" s="1097">
        <f t="shared" si="5"/>
        <v>0</v>
      </c>
      <c r="AP19" s="1097">
        <f>IF(ISNUMBER(((Datos!L19/Datos!K19)*11)/factor_trimestre),((Datos!L19/Datos!K19)*11)/factor_trimestre," - ")</f>
        <v>5.4279069767441861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5.8823529411764705E-2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61.776478803289955</v>
      </c>
      <c r="AM21" s="869"/>
      <c r="AN21" s="869">
        <f>IF(ISNUMBER(STDEV(AN8:AN18)),STDEV(AN8:AN18),"-")</f>
        <v>0</v>
      </c>
      <c r="AO21" s="875">
        <f>IF(ISNUMBER(STDEV(AO8:AO18)),STDEV(AO8:AO18),"-")</f>
        <v>0</v>
      </c>
      <c r="AP21" s="922">
        <f>IF(ISNUMBER(STDEV(AP8:AP18)),STDEV(AP8:AP18),"-")</f>
        <v>6.3567559130192803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NlLdwCGaj0TdGFzuamPyARkAHh0DP9h5qMGiGX1S/DAni2tsdtmKd6/lbtSOxYP7emWIB/EEjuc7RTVg1s3gxw==" saltValue="jrR5+EdWHSr4Tw/Lf2wzz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JAEN</v>
      </c>
      <c r="C3" s="426"/>
      <c r="F3" s="399"/>
      <c r="G3" s="399"/>
      <c r="H3" s="399"/>
    </row>
    <row r="4" spans="1:15" ht="13.5" thickBot="1">
      <c r="A4" s="399"/>
      <c r="B4" s="402" t="str">
        <f>Criterios!A11 &amp;"  "&amp;Criterios!B11</f>
        <v>Resumenes por Partidos Judiciales  MARTOS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011uXtBTLZjHyfaT2fC6AEf7/uksUONdONj6aohT53IXhuCnzcS1pzaAI8bdK58MCYZX6bBRmhk6WWJkGsijkQ==" saltValue="RPJukvk5fK7ivB/EZ1phB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JAEN</v>
      </c>
      <c r="C3" s="438"/>
      <c r="D3" s="439"/>
    </row>
    <row r="4" spans="1:9" ht="13.5" thickBot="1">
      <c r="B4" s="440" t="str">
        <f>Criterios!A11 &amp;"  "&amp;Criterios!B11</f>
        <v>Resumenes por Partidos Judiciales  MARTOS</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107</v>
      </c>
      <c r="E12" s="415">
        <f t="shared" si="0"/>
        <v>53.5</v>
      </c>
      <c r="F12" s="414">
        <f>IF(ISNUMBER(Datos!N12),Datos!N12," - ")</f>
        <v>83</v>
      </c>
      <c r="G12" s="415">
        <f t="shared" si="1"/>
        <v>41.5</v>
      </c>
      <c r="H12" s="414">
        <f>IF(ISNUMBER(Datos!O12),Datos!O12," - ")</f>
        <v>31</v>
      </c>
      <c r="I12" s="415">
        <f t="shared" si="2"/>
        <v>15.5</v>
      </c>
    </row>
    <row r="13" spans="1:9" ht="14.25" thickTop="1" thickBot="1">
      <c r="A13" s="994" t="str">
        <f>Datos!A13</f>
        <v>TOTAL</v>
      </c>
      <c r="B13" s="995">
        <f>Datos!AO13</f>
        <v>3</v>
      </c>
      <c r="C13" s="997">
        <f>Datos!AR13</f>
        <v>2</v>
      </c>
      <c r="D13" s="995">
        <f>SUBTOTAL(9,D9:D12)</f>
        <v>107</v>
      </c>
      <c r="E13" s="996">
        <f t="shared" si="0"/>
        <v>35.666666666666664</v>
      </c>
      <c r="F13" s="995">
        <f>SUBTOTAL(9,F9:F12)</f>
        <v>83</v>
      </c>
      <c r="G13" s="996">
        <f t="shared" si="1"/>
        <v>27.666666666666668</v>
      </c>
      <c r="H13" s="995">
        <f>SUBTOTAL(9,H9:H12)</f>
        <v>31</v>
      </c>
      <c r="I13" s="996">
        <f>IF(ISNUMBER(H13/B13),H13/B13," - ")</f>
        <v>10.333333333333334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91</v>
      </c>
      <c r="E16" s="415">
        <f t="shared" si="3"/>
        <v>45.5</v>
      </c>
      <c r="F16" s="414">
        <f>IF(ISNUMBER(Datos!N16),Datos!N16," - ")</f>
        <v>442</v>
      </c>
      <c r="G16" s="415">
        <f t="shared" si="4"/>
        <v>221</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15</v>
      </c>
      <c r="E17" s="415">
        <f>IF(ISNUMBER(D17/B17),D17/B17," - ")</f>
        <v>15</v>
      </c>
      <c r="F17" s="414">
        <f>IF(ISNUMBER(Datos!N17),Datos!N17," - ")</f>
        <v>72</v>
      </c>
      <c r="G17" s="415">
        <f>IF(ISNUMBER(F17/B17),F17/B17," - ")</f>
        <v>72</v>
      </c>
      <c r="H17" s="414">
        <f>IF(ISNUMBER(Datos!O17),Datos!O17," - ")</f>
        <v>0</v>
      </c>
      <c r="I17" s="415">
        <f t="shared" si="5"/>
        <v>0</v>
      </c>
    </row>
    <row r="18" spans="1:9" ht="14.25" thickTop="1" thickBot="1">
      <c r="A18" s="994" t="str">
        <f>Datos!A18</f>
        <v>TOTAL</v>
      </c>
      <c r="B18" s="995">
        <f>Datos!AO18</f>
        <v>3</v>
      </c>
      <c r="C18" s="997">
        <f>Datos!AR18</f>
        <v>2</v>
      </c>
      <c r="D18" s="995">
        <f>SUBTOTAL(9,D15:D17)</f>
        <v>106</v>
      </c>
      <c r="E18" s="996">
        <f t="shared" si="3"/>
        <v>35.333333333333336</v>
      </c>
      <c r="F18" s="995">
        <f>SUBTOTAL(9,F15:F17)</f>
        <v>514</v>
      </c>
      <c r="G18" s="996">
        <f t="shared" si="4"/>
        <v>171.33333333333334</v>
      </c>
      <c r="H18" s="995">
        <f>SUBTOTAL(9,H15:H17)</f>
        <v>0</v>
      </c>
      <c r="I18" s="996">
        <f>IF(ISNUMBER(H18/B18),H18/B18," - ")</f>
        <v>0</v>
      </c>
    </row>
    <row r="19" spans="1:9" ht="14.25" thickTop="1" thickBot="1">
      <c r="A19" s="939" t="str">
        <f>Datos!A19</f>
        <v>TOTAL JURISDICCIONES</v>
      </c>
      <c r="B19" s="940">
        <f>Datos!AP19</f>
        <v>2</v>
      </c>
      <c r="C19" s="940">
        <f>Datos!AR19</f>
        <v>2</v>
      </c>
      <c r="D19" s="940">
        <f>SUBTOTAL(9,D8:D18)</f>
        <v>213</v>
      </c>
      <c r="E19" s="941">
        <f>IF(ISNUMBER(D19/B19),D19/B19," - ")</f>
        <v>106.5</v>
      </c>
      <c r="F19" s="940">
        <f>SUBTOTAL(9,F8:F18)</f>
        <v>597</v>
      </c>
      <c r="G19" s="941">
        <f>IF(ISNUMBER(F19/B19),F19/B19," - ")</f>
        <v>298.5</v>
      </c>
      <c r="H19" s="940">
        <f>SUBTOTAL(9,H8:H18)</f>
        <v>31</v>
      </c>
      <c r="I19" s="941">
        <f>IF(ISNUMBER(H19/B19),H19/B19," - ")</f>
        <v>15.5</v>
      </c>
    </row>
    <row r="22" spans="1:9">
      <c r="A22" s="402" t="str">
        <f>Criterios!A4</f>
        <v>Fecha Informe: 06 oct. 2023</v>
      </c>
    </row>
    <row r="27" spans="1:9">
      <c r="A27" s="425"/>
    </row>
  </sheetData>
  <sheetProtection algorithmName="SHA-512" hashValue="mw4eqnqGAVBflq0uKYQDlOkIDAzMGR4TqXPj/x04QDfBPGBxXWajnFhpN6YcdXsVl20lqyHd0qwA8+rTgDCD7g==" saltValue="DXqwpxG5MMUYn2sacAAk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JAEN</v>
      </c>
    </row>
    <row r="4" spans="1:4" ht="13.5" thickBot="1">
      <c r="B4" s="402" t="str">
        <f>Criterios!A11 &amp;"  "&amp;Criterios!B11</f>
        <v>Resumenes por Partidos Judiciales  MARTOS</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121</v>
      </c>
      <c r="C12" s="450">
        <f>IF(ISNUMBER(Datos!Q12),Datos!Q12," - ")</f>
        <v>40</v>
      </c>
      <c r="D12" s="419">
        <f>IF(ISNUMBER(Datos!R12),Datos!R12," - ")</f>
        <v>1571</v>
      </c>
    </row>
    <row r="13" spans="1:4" ht="14.25" thickTop="1" thickBot="1">
      <c r="A13" s="994" t="str">
        <f>Datos!A13</f>
        <v>TOTAL</v>
      </c>
      <c r="B13" s="995">
        <f>SUBTOTAL(9,B9:B12)</f>
        <v>121</v>
      </c>
      <c r="C13" s="999">
        <f>SUBTOTAL(9,C9:C12)</f>
        <v>40</v>
      </c>
      <c r="D13" s="997">
        <f>SUBTOTAL(9,D9:D12)</f>
        <v>1574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22</v>
      </c>
      <c r="C16" s="450">
        <f>IF(ISNUMBER(Datos!Q16),Datos!Q16," - ")</f>
        <v>12</v>
      </c>
      <c r="D16" s="419">
        <f>IF(ISNUMBER(Datos!R16),Datos!R16," - ")</f>
        <v>64</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22</v>
      </c>
      <c r="C18" s="999">
        <f>SUBTOTAL(9,C15:C17)</f>
        <v>12</v>
      </c>
      <c r="D18" s="997">
        <f>SUBTOTAL(9,D15:D17)</f>
        <v>64</v>
      </c>
    </row>
    <row r="19" spans="1:4" ht="16.5" customHeight="1" thickTop="1" thickBot="1">
      <c r="A19" s="939" t="str">
        <f>Datos!A19</f>
        <v>TOTAL JURISDICCIONES</v>
      </c>
      <c r="B19" s="944">
        <f>SUBTOTAL(9,B8:B18)</f>
        <v>143</v>
      </c>
      <c r="C19" s="945">
        <f>SUBTOTAL(9,C8:C18)</f>
        <v>52</v>
      </c>
      <c r="D19" s="946">
        <f>SUBTOTAL(9,D8:D18)</f>
        <v>1638</v>
      </c>
    </row>
    <row r="20" spans="1:4" ht="7.5" customHeight="1"/>
    <row r="21" spans="1:4" ht="6" customHeight="1"/>
    <row r="22" spans="1:4">
      <c r="A22" s="402" t="str">
        <f>Criterios!A4</f>
        <v>Fecha Informe: 06 oct. 2023</v>
      </c>
    </row>
    <row r="27" spans="1:4">
      <c r="A27" s="425"/>
    </row>
  </sheetData>
  <sheetProtection algorithmName="SHA-512" hashValue="OIwsUUl3UDBU/LyeLkV8b+MOEJnI/RIGwrIBbeaHE3fZDSx269Vh+VkavwVMe9ss+jd7KSWwwxQfifV+GEv/CA==" saltValue="EhXSoIkeXW4cg7oq2dl3A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JAEN</v>
      </c>
    </row>
    <row r="4" spans="1:11" ht="10.5" customHeight="1" thickBot="1">
      <c r="B4" s="402" t="str">
        <f>Criterios!A11 &amp;"  "&amp;Criterios!B11</f>
        <v>Resumenes por Partidos Judiciales  MARTOS</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f>IF(ISNUMBER((Datos!J10-Datos!T10)/Datos!T10),(Datos!J10-Datos!T10)/Datos!T10," - ")</f>
        <v>2</v>
      </c>
      <c r="D10" s="472">
        <f>IF(ISNUMBER((Datos!K10-Datos!U10)/Datos!U10),(Datos!K10-Datos!U10)/Datos!U10," - ")</f>
        <v>1</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f>IF(ISNUMBER(((NºAsuntos!G10/NºAsuntos!E10)-Datos!BD10)/Datos!BD10),((NºAsuntos!G10/NºAsuntos!E10)-Datos!BD10)/Datos!BD10," - ")</f>
        <v>-0.33333333333333337</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0.5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0.56925207756232687</v>
      </c>
      <c r="C12" s="472">
        <f>IF(ISNUMBER(
   IF(J_V="SI",(Datos!J12-Datos!T12)/Datos!T12,(Datos!J12+Datos!Z12-(Datos!T12+Datos!AH12))/(Datos!T12+Datos!AH12))
     ),IF(J_V="SI",(Datos!J12-Datos!T12)/Datos!T12,(Datos!J12+Datos!Z12-(Datos!T12+Datos!AH12))/(Datos!T12+Datos!AH12))," - ")</f>
        <v>0.61823361823361822</v>
      </c>
      <c r="D12" s="472">
        <f>IF(ISNUMBER(
   IF(J_V="SI",(Datos!K12-Datos!U12)/Datos!U12,(Datos!K12+Datos!AA12-(Datos!U12+Datos!AI12))/(Datos!U12+Datos!AI12))
     ),IF(J_V="SI",(Datos!K12-Datos!U12)/Datos!U12,(Datos!K12+Datos!AA12-(Datos!U12+Datos!AI12))/(Datos!U12+Datos!AI12))," - ")</f>
        <v>6.2111801242236021E-3</v>
      </c>
      <c r="E12" s="472">
        <f>IF(ISNUMBER(
   IF(J_V="SI",(Datos!L12-Datos!V12)/Datos!V12,(Datos!L12+Datos!AB12-(Datos!V12+Datos!AJ12))/(Datos!V12+Datos!AJ12))
     ),IF(J_V="SI",(Datos!L12-Datos!V12)/Datos!V12,(Datos!L12+Datos!AB12-(Datos!V12+Datos!AJ12))/(Datos!V12+Datos!AJ12))," - ")</f>
        <v>0.83355525965379496</v>
      </c>
      <c r="F12" s="472">
        <f>IF(ISNUMBER((Datos!M12-Datos!W12)/Datos!W12),(Datos!M12-Datos!W12)/Datos!W12," - ")</f>
        <v>0.42666666666666669</v>
      </c>
      <c r="G12" s="473">
        <f>IF(ISNUMBER((Datos!N12-Datos!X12)/Datos!X12),(Datos!N12-Datos!X12)/Datos!X12," - ")</f>
        <v>-8.7912087912087919E-2</v>
      </c>
      <c r="H12" s="471">
        <f>IF(ISNUMBER(((NºAsuntos!G12/NºAsuntos!E12)-Datos!BD12)/Datos!BD12),((NºAsuntos!G12/NºAsuntos!E12)-Datos!BD12)/Datos!BD12," - ")</f>
        <v>-0.37820400664858717</v>
      </c>
      <c r="I12" s="472">
        <f>IF(ISNUMBER(((NºAsuntos!I12/NºAsuntos!G12)-Datos!BE12)/Datos!BE12),((NºAsuntos!I12/NºAsuntos!G12)-Datos!BE12)/Datos!BE12," - ")</f>
        <v>0.822237017310253</v>
      </c>
      <c r="J12" s="477">
        <f>IF(ISNUMBER((('Resol  Asuntos'!D12/NºAsuntos!G12)-Datos!BF12)/Datos!BF12),(('Resol  Asuntos'!D12/NºAsuntos!G12)-Datos!BF12)/Datos!BF12," - ")</f>
        <v>0.1685660018993354</v>
      </c>
      <c r="K12" s="478">
        <f>IF(ISNUMBER((((NºAsuntos!C12+NºAsuntos!E12)/NºAsuntos!G12)-Datos!BG12)/Datos!BG12),(((NºAsuntos!C12+NºAsuntos!E12)/NºAsuntos!G12)-Datos!BG12)/Datos!BG12," - ")</f>
        <v>0.57548928238583408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0.56925207756232687</v>
      </c>
      <c r="C13" s="1001">
        <f>IF(ISNUMBER(
   IF(J_V="SI",(Datos!J13-Datos!T13)/Datos!T13,(Datos!J13+Datos!Z13-(Datos!T13+Datos!AH13))/(Datos!T13+Datos!AH13))
     ),IF(J_V="SI",(Datos!J13-Datos!T13)/Datos!T13,(Datos!J13+Datos!Z13-(Datos!T13+Datos!AH13))/(Datos!T13+Datos!AH13))," - ")</f>
        <v>0.62215909090909094</v>
      </c>
      <c r="D13" s="1001">
        <f>IF(ISNUMBER(
   IF(J_V="SI",(Datos!K13-Datos!U13)/Datos!U13,(Datos!K13+Datos!AA13-(Datos!U13+Datos!AI13))/(Datos!U13+Datos!AI13))
     ),IF(J_V="SI",(Datos!K13-Datos!U13)/Datos!U13,(Datos!K13+Datos!AA13-(Datos!U13+Datos!AI13))/(Datos!U13+Datos!AI13))," - ")</f>
        <v>9.2879256965944269E-3</v>
      </c>
      <c r="E13" s="1001">
        <f>IF(ISNUMBER(
   IF(J_V="SI",(Datos!L13-Datos!V13)/Datos!V13,(Datos!L13+Datos!AB13-(Datos!V13+Datos!AJ13))/(Datos!V13+Datos!AJ13))
     ),IF(J_V="SI",(Datos!L13-Datos!V13)/Datos!V13,(Datos!L13+Datos!AB13-(Datos!V13+Datos!AJ13))/(Datos!V13+Datos!AJ13))," - ")</f>
        <v>0.83488681757656458</v>
      </c>
      <c r="F13" s="1002">
        <f>IF(ISNUMBER((Datos!M13-Datos!W13)/Datos!W13),(Datos!M13-Datos!W13)/Datos!W13," - ")</f>
        <v>0.42666666666666669</v>
      </c>
      <c r="G13" s="1003">
        <f>IF(ISNUMBER((Datos!N13-Datos!X13)/Datos!X13),(Datos!N13-Datos!X13)/Datos!X13," - ")</f>
        <v>-8.7912087912087919E-2</v>
      </c>
      <c r="H13" s="1003">
        <f>IF(ISNUMBER(((NºAsuntos!G13/NºAsuntos!E13)-Datos!BD13)/Datos!BD13),((NºAsuntos!G13/NºAsuntos!E13)-Datos!BD13)/Datos!BD13," - ")</f>
        <v>-0.37781199676847421</v>
      </c>
      <c r="I13" s="1003">
        <f>IF(ISNUMBER(((NºAsuntos!I13/NºAsuntos!G13)-Datos!BE13)/Datos!BE13),((NºAsuntos!I13/NºAsuntos!G13)-Datos!BE13)/Datos!BE13," - ")</f>
        <v>0.8180013560651237</v>
      </c>
      <c r="J13" s="1003">
        <f>IF(ISNUMBER((('Resol  Asuntos'!D13/NºAsuntos!G13)-Datos!BF13)/Datos!BF13),(('Resol  Asuntos'!D13/NºAsuntos!G13)-Datos!BF13)/Datos!BF13," - ")</f>
        <v>0.16500370794849328</v>
      </c>
      <c r="K13" s="1003">
        <f>IF(ISNUMBER((((NºAsuntos!C13+NºAsuntos!E13)/NºAsuntos!G13)-Datos!BG13)/Datos!BG13),(((NºAsuntos!C13+NºAsuntos!E13)/NºAsuntos!G13)-Datos!BG13)/Datos!BG13," - ")</f>
        <v>0.57199163724851754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7.4999999999999997E-2</v>
      </c>
      <c r="C16" s="472">
        <f>IF(ISNUMBER(
   IF(D_I="SI",(Datos!J16-Datos!T16)/Datos!T16,(Datos!J16+Datos!AD16-(Datos!T16+Datos!AL16))/(Datos!T16+Datos!AL16))
     ),IF(D_I="SI",(Datos!J16-Datos!T16)/Datos!T16,(Datos!J16+Datos!AD16-(Datos!T16+Datos!AL16))/(Datos!T16+Datos!AL16))," - ")</f>
        <v>0.38104448742746616</v>
      </c>
      <c r="D16" s="472">
        <f>IF(ISNUMBER(
   IF(D_I="SI",(Datos!K16-Datos!U16)/Datos!U16,(Datos!K16+Datos!AE16-(Datos!U16+Datos!AM16))/(Datos!U16+Datos!AM16))
     ),IF(D_I="SI",(Datos!K16-Datos!U16)/Datos!U16,(Datos!K16+Datos!AE16-(Datos!U16+Datos!AM16))/(Datos!U16+Datos!AM16))," - ")</f>
        <v>0.48780487804878048</v>
      </c>
      <c r="E16" s="472">
        <f>IF(ISNUMBER(
   IF(D_I="SI",(Datos!L16-Datos!V16)/Datos!V16,(Datos!L16+Datos!AF16-(Datos!V16+Datos!AN16))/(Datos!V16+Datos!AN16))
     ),IF(D_I="SI",(Datos!L16-Datos!V16)/Datos!V16,(Datos!L16+Datos!AF16-(Datos!V16+Datos!AN16))/(Datos!V16+Datos!AN16))," - ")</f>
        <v>1.9762845849802372E-2</v>
      </c>
      <c r="F16" s="472">
        <f>IF(ISNUMBER((Datos!M16-Datos!W16)/Datos!W16),(Datos!M16-Datos!W16)/Datos!W16," - ")</f>
        <v>1.4594594594594594</v>
      </c>
      <c r="G16" s="473">
        <f>IF(ISNUMBER((Datos!N16-Datos!X16)/Datos!X16),(Datos!N16-Datos!X16)/Datos!X16," - ")</f>
        <v>0.60144927536231885</v>
      </c>
      <c r="H16" s="471">
        <f>IF(ISNUMBER(((NºAsuntos!G16/NºAsuntos!E16)-Datos!BD16)/Datos!BD16),((NºAsuntos!G16/NºAsuntos!E16)-Datos!BD16)/Datos!BD16," - ")</f>
        <v>7.7304092368654723E-2</v>
      </c>
      <c r="I16" s="472">
        <f>IF(ISNUMBER(((NºAsuntos!I16/NºAsuntos!G16)-Datos!BE16)/Datos!BE16),((NºAsuntos!I16/NºAsuntos!G16)-Datos!BE16)/Datos!BE16," - ")</f>
        <v>-0.31458562819931324</v>
      </c>
      <c r="J16" s="477">
        <f>IF(ISNUMBER((('Resol  Asuntos'!D16/NºAsuntos!G16)-Datos!BF16)/Datos!BF16),(('Resol  Asuntos'!D16/NºAsuntos!G16)-Datos!BF16)/Datos!BF16," - ")</f>
        <v>0.6530793088170137</v>
      </c>
      <c r="K16" s="478">
        <f>IF(ISNUMBER((((NºAsuntos!C16+NºAsuntos!E16)/NºAsuntos!G16)-Datos!BG16)/Datos!BG16),(((NºAsuntos!C16+NºAsuntos!E16)/NºAsuntos!G16)-Datos!BG16)/Datos!BG16," - ")</f>
        <v>-0.16633263100193568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2.3333333333333335</v>
      </c>
      <c r="C17" s="472">
        <f>IF(ISNUMBER(
   IF(D_I="SI",(Datos!J17-Datos!T17)/Datos!T17,(Datos!J17+Datos!AD17-(Datos!T17+Datos!AL17))/(Datos!T17+Datos!AL17))
     ),IF(D_I="SI",(Datos!J17-Datos!T17)/Datos!T17,(Datos!J17+Datos!AD17-(Datos!T17+Datos!AL17))/(Datos!T17+Datos!AL17))," - ")</f>
        <v>0.46835443037974683</v>
      </c>
      <c r="D17" s="472">
        <f>IF(ISNUMBER(
   IF(D_I="SI",(Datos!K17-Datos!U17)/Datos!U17,(Datos!K17+Datos!AE17-(Datos!U17+Datos!AM17))/(Datos!U17+Datos!AM17))
     ),IF(D_I="SI",(Datos!K17-Datos!U17)/Datos!U17,(Datos!K17+Datos!AE17-(Datos!U17+Datos!AM17))/(Datos!U17+Datos!AM17))," - ")</f>
        <v>0.15476190476190477</v>
      </c>
      <c r="E17" s="472">
        <f>IF(ISNUMBER(
   IF(D_I="SI",(Datos!L17-Datos!V17)/Datos!V17,(Datos!L17+Datos!AF17-(Datos!V17+Datos!AN17))/(Datos!V17+Datos!AN17))
     ),IF(D_I="SI",(Datos!L17-Datos!V17)/Datos!V17,(Datos!L17+Datos!AF17-(Datos!V17+Datos!AN17))/(Datos!V17+Datos!AN17))," - ")</f>
        <v>4.5625</v>
      </c>
      <c r="F17" s="472">
        <f>IF(ISNUMBER((Datos!M17-Datos!W17)/Datos!W17),(Datos!M17-Datos!W17)/Datos!W17," - ")</f>
        <v>0.15384615384615385</v>
      </c>
      <c r="G17" s="473">
        <f>IF(ISNUMBER((Datos!N17-Datos!X17)/Datos!X17),(Datos!N17-Datos!X17)/Datos!X17," - ")</f>
        <v>1.4084507042253521E-2</v>
      </c>
      <c r="H17" s="471">
        <f>IF(ISNUMBER(((NºAsuntos!G17/NºAsuntos!E17)-Datos!BD17)/Datos!BD17),((NºAsuntos!G17/NºAsuntos!E17)-Datos!BD17)/Datos!BD17," - ")</f>
        <v>-0.21356732348111654</v>
      </c>
      <c r="I17" s="472">
        <f>IF(ISNUMBER(((NºAsuntos!I17/NºAsuntos!G17)-Datos!BE17)/Datos!BE17),((NºAsuntos!I17/NºAsuntos!G17)-Datos!BE17)/Datos!BE17," - ")</f>
        <v>3.8170103092783507</v>
      </c>
      <c r="J17" s="477">
        <f>IF(ISNUMBER((('Resol  Asuntos'!D17/NºAsuntos!G17)-Datos!BF17)/Datos!BF17),(('Resol  Asuntos'!D17/NºAsuntos!G17)-Datos!BF17)/Datos!BF17," - ")</f>
        <v>-7.9302141157810979E-4</v>
      </c>
      <c r="K17" s="478">
        <f>IF(ISNUMBER((((NºAsuntos!C17+NºAsuntos!E17)/NºAsuntos!G17)-Datos!BG17)/Datos!BG17),(((NºAsuntos!C17+NºAsuntos!E17)/NºAsuntos!G17)-Datos!BG17)/Datos!BG17," - ")</f>
        <v>0.61072164948453611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0.17787418655097614</v>
      </c>
      <c r="C18" s="1001">
        <f>IF(ISNUMBER(
   IF(Criterios!B14="SI",(Datos!J18-Datos!T18)/Datos!T18,(Datos!J18+Datos!AD18-(Datos!T18+Datos!AL18))/(Datos!T18+Datos!AL18))
     ),IF(Criterios!B14="SI",(Datos!J18-Datos!T18)/Datos!T18,(Datos!J18+Datos!AD18-(Datos!T18+Datos!AL18))/(Datos!T18+Datos!AL18))," - ")</f>
        <v>0.39261744966442952</v>
      </c>
      <c r="D18" s="1001">
        <f>IF(ISNUMBER(
   IF(Criterios!B14="SI",(Datos!K18-Datos!U18)/Datos!U18,(Datos!K18+Datos!AE18-(Datos!U18+Datos!AM18))/(Datos!U18+Datos!AM18))
     ),IF(Criterios!B14="SI",(Datos!K18-Datos!U18)/Datos!U18,(Datos!K18+Datos!AE18-(Datos!U18+Datos!AM18))/(Datos!U18+Datos!AM18))," - ")</f>
        <v>0.43551401869158879</v>
      </c>
      <c r="E18" s="1001">
        <f>IF(ISNUMBER(
   IF(Criterios!B14="SI",(Datos!L18-Datos!V18)/Datos!V18,(Datos!L18+Datos!AF18-(Datos!V18+Datos!AN18))/(Datos!V18+Datos!AN18))
     ),IF(Criterios!B14="SI",(Datos!L18-Datos!V18)/Datos!V18,(Datos!L18+Datos!AF18-(Datos!V18+Datos!AN18))/(Datos!V18+Datos!AN18))," - ")</f>
        <v>0.15900383141762453</v>
      </c>
      <c r="F18" s="1002">
        <f>IF(ISNUMBER((Datos!M18-Datos!W18)/Datos!W18),(Datos!M18-Datos!W18)/Datos!W18," - ")</f>
        <v>1.1200000000000001</v>
      </c>
      <c r="G18" s="1003">
        <f>IF(ISNUMBER((Datos!N18-Datos!X18)/Datos!X18),(Datos!N18-Datos!X18)/Datos!X18," - ")</f>
        <v>0.48126801152737753</v>
      </c>
      <c r="H18" s="1003">
        <f>IF(ISNUMBER(((NºAsuntos!G18/NºAsuntos!E18)-Datos!BD18)/Datos!BD18),((NºAsuntos!G18/NºAsuntos!E18)-Datos!BD18)/Datos!BD18," - ")</f>
        <v>3.0802837518297509E-2</v>
      </c>
      <c r="I18" s="1003">
        <f>IF(ISNUMBER(((NºAsuntos!I18/NºAsuntos!G18)-Datos!BE18)/Datos!BE18),((NºAsuntos!I18/NºAsuntos!G18)-Datos!BE18)/Datos!BE18," - ")</f>
        <v>-0.19262102889527466</v>
      </c>
      <c r="J18" s="1003">
        <f>IF(ISNUMBER((('Resol  Asuntos'!D18/NºAsuntos!G18)-Datos!BF18)/Datos!BF18),(('Resol  Asuntos'!D18/NºAsuntos!G18)-Datos!BF18)/Datos!BF18," - ")</f>
        <v>0.47682291666666682</v>
      </c>
      <c r="K18" s="1003">
        <f>IF(ISNUMBER((((NºAsuntos!C18+NºAsuntos!E18)/NºAsuntos!G18)-Datos!BG18)/Datos!BG18),(((NºAsuntos!C18+NºAsuntos!E18)/NºAsuntos!G18)-Datos!BG18)/Datos!BG18," - ")</f>
        <v>-9.5125995348470438E-2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0.41673710904480138</v>
      </c>
      <c r="C19" s="948">
        <f>IF(ISNUMBER(
   IF(J_V="SI",(Datos!J19-Datos!T19)/Datos!T19,(Datos!J19+Datos!Z19-(Datos!T19+Datos!AH19))/(Datos!T19+Datos!AH19))
     ),IF(J_V="SI",(Datos!J19-Datos!T19)/Datos!T19,(Datos!J19+Datos!Z19-(Datos!T19+Datos!AH19))/(Datos!T19+Datos!AH19))," - ")</f>
        <v>0.47784810126582278</v>
      </c>
      <c r="D19" s="948">
        <f>IF(ISNUMBER(
   IF(J_V="SI",(Datos!K19-Datos!U19)/Datos!U19,(Datos!K19+Datos!AA19-(Datos!U19+Datos!AI19))/(Datos!U19+Datos!AI19))
     ),IF(J_V="SI",(Datos!K19-Datos!U19)/Datos!U19,(Datos!K19+Datos!AA19-(Datos!U19+Datos!AI19))/(Datos!U19+Datos!AI19))," - ")</f>
        <v>0.27505827505827507</v>
      </c>
      <c r="E19" s="948">
        <f>IF(ISNUMBER(
   IF(J_V="SI",(Datos!L19-Datos!V19)/Datos!V19,(Datos!L19+Datos!AB19-(Datos!V19+Datos!AJ19))/(Datos!V19+Datos!AJ19))
     ),IF(J_V="SI",(Datos!L19-Datos!V19)/Datos!V19,(Datos!L19+Datos!AB19-(Datos!V19+Datos!AJ19))/(Datos!V19+Datos!AJ19))," - ")</f>
        <v>0.55773762765121759</v>
      </c>
      <c r="F19" s="949">
        <f>IF(ISNUMBER((Datos!M19-Datos!W19)/Datos!W19),(Datos!M19-Datos!W19)/Datos!W19," - ")</f>
        <v>0.70399999999999996</v>
      </c>
      <c r="G19" s="950">
        <f>IF(ISNUMBER((Datos!N19-Datos!X19)/Datos!X19),(Datos!N19-Datos!X19)/Datos!X19," - ")</f>
        <v>0.36301369863013699</v>
      </c>
      <c r="H19" s="951">
        <f>IF(ISNUMBER((Tasas!B19-Datos!BD19)/Datos!BD19),(Tasas!B19-Datos!BD19)/Datos!BD19," - ")</f>
        <v>-0.13721966826891888</v>
      </c>
      <c r="I19" s="952">
        <f>IF(ISNUMBER((Tasas!C19-Datos!BE19)/Datos!BE19),(Tasas!C19-Datos!BE19)/Datos!BE19," - ")</f>
        <v>0.22169916318532429</v>
      </c>
      <c r="J19" s="953">
        <f>IF(ISNUMBER((Tasas!D19-Datos!BF19)/Datos!BF19),(Tasas!D19-Datos!BF19)/Datos!BF19," - ")</f>
        <v>0.18476020070792334</v>
      </c>
      <c r="K19" s="953">
        <f>IF(ISNUMBER((Tasas!E19-Datos!BG19)/Datos!BG19),(Tasas!E19-Datos!BG19)/Datos!BG19," - ")</f>
        <v>0.13243690039179615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3kNIy2qTW/9x9P5uwv1Zo4p6NrRdHvKSSqf1jWzFlmYhDu+XAh6OZ+cZRp//agUBMOwtuBsh2VQPHa/Zc+Qgeg==" saltValue="ksrH2euHE+SzDQJ2gkviZ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JAEN</v>
      </c>
    </row>
    <row r="4" spans="1:7" ht="11.25" customHeight="1" thickBot="1">
      <c r="B4" s="402" t="str">
        <f>Criterios!A11 &amp;"  "&amp;Criterios!B11</f>
        <v>Resumenes por Partidos Judiciales  MARTOS</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0.66666666666666663</v>
      </c>
      <c r="C10" s="459">
        <f>IF(ISNUMBER(NºAsuntos!I10/NºAsuntos!G10),NºAsuntos!I10/NºAsuntos!G10," - ")</f>
        <v>0.5</v>
      </c>
      <c r="D10" s="460">
        <f>IF(ISNUMBER('Resol  Asuntos'!D10/NºAsuntos!G10),'Resol  Asuntos'!D10/NºAsuntos!G10," - ")</f>
        <v>0</v>
      </c>
      <c r="E10" s="461">
        <f>IF(ISNUMBER((NºAsuntos!C10+NºAsuntos!E10)/NºAsuntos!G10),(NºAsuntos!C10+NºAsuntos!E10)/NºAsuntos!G10," - ")</f>
        <v>1.5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0.57042253521126762</v>
      </c>
      <c r="C12" s="459">
        <f>IF(ISNUMBER(NºAsuntos!I12/NºAsuntos!G12),NºAsuntos!I12/NºAsuntos!G12," - ")</f>
        <v>4.25</v>
      </c>
      <c r="D12" s="460">
        <f>IF(ISNUMBER('Resol  Asuntos'!D12/NºAsuntos!G12),'Resol  Asuntos'!D12/NºAsuntos!G12," - ")</f>
        <v>0.33024691358024694</v>
      </c>
      <c r="E12" s="461">
        <f>IF(ISNUMBER((NºAsuntos!C12+NºAsuntos!E12)/NºAsuntos!G12),(NºAsuntos!C12+NºAsuntos!E12)/NºAsuntos!G12," - ")</f>
        <v>5.25</v>
      </c>
      <c r="G12" s="479"/>
    </row>
    <row r="13" spans="1:7" ht="14.25" thickTop="1" thickBot="1">
      <c r="A13" s="994" t="str">
        <f>Datos!A13</f>
        <v>TOTAL</v>
      </c>
      <c r="B13" s="1004">
        <f>IF(ISNUMBER(NºAsuntos!G13/NºAsuntos!E13),NºAsuntos!G13/NºAsuntos!E13," - ")</f>
        <v>0.57092819614711032</v>
      </c>
      <c r="C13" s="1005">
        <f>IF(ISNUMBER(NºAsuntos!I13/NºAsuntos!G13),NºAsuntos!I13/NºAsuntos!G13," - ")</f>
        <v>4.2269938650306749</v>
      </c>
      <c r="D13" s="1006">
        <f>IF(ISNUMBER('Resol  Asuntos'!D13/NºAsuntos!G13),'Resol  Asuntos'!D13/NºAsuntos!G13," - ")</f>
        <v>0.32822085889570551</v>
      </c>
      <c r="E13" s="1007">
        <f>IF(ISNUMBER((NºAsuntos!C13+NºAsuntos!E13)/NºAsuntos!G13),(NºAsuntos!C13+NºAsuntos!E13)/NºAsuntos!G13," - ")</f>
        <v>5.2269938650306749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0.93977591036414565</v>
      </c>
      <c r="C16" s="459">
        <f>IF(ISNUMBER(NºAsuntos!I16/NºAsuntos!G16),NºAsuntos!I16/NºAsuntos!G16," - ")</f>
        <v>0.76900149031296572</v>
      </c>
      <c r="D16" s="460">
        <f>IF(ISNUMBER('Resol  Asuntos'!D16/NºAsuntos!G16),'Resol  Asuntos'!D16/NºAsuntos!G16," - ")</f>
        <v>0.13561847988077497</v>
      </c>
      <c r="E16" s="461">
        <f>IF(ISNUMBER((NºAsuntos!C16+NºAsuntos!E16)/NºAsuntos!G16),(NºAsuntos!C16+NºAsuntos!E16)/NºAsuntos!G16," - ")</f>
        <v>1.7690014903129658</v>
      </c>
      <c r="G16" s="479"/>
    </row>
    <row r="17" spans="1:7" ht="13.5" thickBot="1">
      <c r="A17" s="413" t="str">
        <f>Datos!A17</f>
        <v>Jdos. Violencia contra la mujer</v>
      </c>
      <c r="B17" s="458">
        <f>IF(ISNUMBER(NºAsuntos!G17/NºAsuntos!E17),NºAsuntos!G17/NºAsuntos!E17," - ")</f>
        <v>0.83620689655172409</v>
      </c>
      <c r="C17" s="459">
        <f>IF(ISNUMBER(NºAsuntos!I17/NºAsuntos!G17),NºAsuntos!I17/NºAsuntos!G17," - ")</f>
        <v>0.91752577319587625</v>
      </c>
      <c r="D17" s="460">
        <f>IF(ISNUMBER('Resol  Asuntos'!D17/NºAsuntos!G17),'Resol  Asuntos'!D17/NºAsuntos!G17," - ")</f>
        <v>0.15463917525773196</v>
      </c>
      <c r="E17" s="461">
        <f>IF(ISNUMBER((NºAsuntos!C17+NºAsuntos!E17)/NºAsuntos!G17),(NºAsuntos!C17+NºAsuntos!E17)/NºAsuntos!G17," - ")</f>
        <v>1.9175257731958764</v>
      </c>
      <c r="G17" s="479"/>
    </row>
    <row r="18" spans="1:7" ht="14.25" thickTop="1" thickBot="1">
      <c r="A18" s="994" t="str">
        <f>Datos!A18</f>
        <v>TOTAL</v>
      </c>
      <c r="B18" s="1004">
        <f>IF(ISNUMBER(NºAsuntos!G18/NºAsuntos!E18),NºAsuntos!G18/NºAsuntos!E18," - ")</f>
        <v>0.92530120481927713</v>
      </c>
      <c r="C18" s="1005">
        <f>IF(ISNUMBER(NºAsuntos!I18/NºAsuntos!G18),NºAsuntos!I18/NºAsuntos!G18," - ")</f>
        <v>0.78776041666666663</v>
      </c>
      <c r="D18" s="1008">
        <f>IF(ISNUMBER('Resol  Asuntos'!D18/NºAsuntos!G18),'Resol  Asuntos'!D18/NºAsuntos!G18," - ")</f>
        <v>0.13802083333333334</v>
      </c>
      <c r="E18" s="1007">
        <f>IF(ISNUMBER((NºAsuntos!C18+NºAsuntos!E18)/NºAsuntos!G18),(NºAsuntos!C18+NºAsuntos!E18)/NºAsuntos!G18," - ")</f>
        <v>1.7877604166666667</v>
      </c>
      <c r="G18" s="479"/>
    </row>
    <row r="19" spans="1:7" ht="15.75" customHeight="1" thickTop="1" thickBot="1">
      <c r="A19" s="939" t="str">
        <f>Datos!A19</f>
        <v>TOTAL JURISDICCIONES</v>
      </c>
      <c r="B19" s="954">
        <f>IF(ISNUMBER(NºAsuntos!G19/NºAsuntos!E19),NºAsuntos!G19/NºAsuntos!E19," - ")</f>
        <v>0.78087080656673802</v>
      </c>
      <c r="C19" s="955">
        <f>IF(ISNUMBER(NºAsuntos!I19/NºAsuntos!G19),NºAsuntos!I19/NºAsuntos!G19," - ")</f>
        <v>1.8126142595978063</v>
      </c>
      <c r="D19" s="956">
        <f>IF(ISNUMBER('Resol  Asuntos'!D19/NºAsuntos!G19),'Resol  Asuntos'!D19/NºAsuntos!G19," - ")</f>
        <v>0.19469835466179158</v>
      </c>
      <c r="E19" s="957">
        <f>IF(ISNUMBER((NºAsuntos!C19+NºAsuntos!E19)/NºAsuntos!G19),(NºAsuntos!C19+NºAsuntos!E19)/NºAsuntos!G19," - ")</f>
        <v>2.8126142595978063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AQVBgwgy8ltc57bv164MURu+7VA8K7HCut6ZhP/wU2N/H8nxATcgUPBt8sIniO6KDMvBJJI60eD1TVmytxHQSQ==" saltValue="paX+OLuFhAb5Ugg3cFclS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JAEN</v>
      </c>
      <c r="N2" s="338" t="str">
        <f>Criterios!A11 &amp;"  "&amp;Criterios!B11</f>
        <v>Resumenes por Partidos Judiciales  MARTOS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1</v>
      </c>
      <c r="AB10" s="343">
        <f>IF(ISNUMBER(Datos!R10),Datos!R10," - ")</f>
        <v>3</v>
      </c>
      <c r="AC10" s="343">
        <f t="shared" ref="AC10:AC12" si="1">IF(ISNUMBER(AA10+AB10),AA10+AB10," - ")</f>
        <v>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0.66666666666666663</v>
      </c>
      <c r="AM10" s="264">
        <f>IF(ISNUMBER(((NºAsuntos!I10/NºAsuntos!G10)*11)/factor_trimestre),((NºAsuntos!I10/NºAsuntos!G10)*11)/factor_trimestre," - ")</f>
        <v>1.5</v>
      </c>
      <c r="AN10" s="248">
        <f>IF(ISNUMBER('Resol  Asuntos'!D10/NºAsuntos!G10),'Resol  Asuntos'!D10/NºAsuntos!G10," - ")</f>
        <v>0</v>
      </c>
      <c r="AO10" s="249">
        <f>IF(ISNUMBER((NºAsuntos!C10+NºAsuntos!E10)/NºAsuntos!G10),(NºAsuntos!C10+NºAsuntos!E10)/NºAsuntos!G10," - ")</f>
        <v>1.5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121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40</v>
      </c>
      <c r="Y12" s="343">
        <f t="shared" si="0"/>
        <v>40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1571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107</v>
      </c>
      <c r="AJ12" s="233" t="str">
        <f>IF(ISNUMBER(Datos!BW12),Datos!BW12," - ")</f>
        <v xml:space="preserve"> - </v>
      </c>
      <c r="AK12" s="232" t="str">
        <f>IF(ISNUMBER(Datos!BX12),Datos!BX12," - ")</f>
        <v xml:space="preserve"> - </v>
      </c>
      <c r="AL12" s="247">
        <f>IF(ISNUMBER(NºAsuntos!G12/NºAsuntos!E12),NºAsuntos!G12/NºAsuntos!E12," - ")</f>
        <v>0.57042253521126762</v>
      </c>
      <c r="AM12" s="264">
        <f>IF(ISNUMBER(((NºAsuntos!I12/NºAsuntos!G12)*11)/factor_trimestre),((NºAsuntos!I12/NºAsuntos!G12)*11)/factor_trimestre," - ")</f>
        <v>12.75</v>
      </c>
      <c r="AN12" s="248">
        <f>IF(ISNUMBER('Resol  Asuntos'!D12/NºAsuntos!G12),'Resol  Asuntos'!D12/NºAsuntos!G12," - ")</f>
        <v>0.33024691358024694</v>
      </c>
      <c r="AO12" s="249">
        <f>IF(ISNUMBER((NºAsuntos!C12+NºAsuntos!E12)/NºAsuntos!G12),(NºAsuntos!C12+NºAsuntos!E12)/NºAsuntos!G12," - ")</f>
        <v>5.25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0</v>
      </c>
      <c r="G13" s="1012">
        <f t="shared" si="3"/>
        <v>0</v>
      </c>
      <c r="H13" s="1011">
        <f t="shared" si="3"/>
        <v>0</v>
      </c>
      <c r="I13" s="1013">
        <f t="shared" si="3"/>
        <v>0</v>
      </c>
      <c r="J13" s="1013">
        <f t="shared" si="3"/>
        <v>0</v>
      </c>
      <c r="K13" s="1013">
        <f t="shared" si="3"/>
        <v>0</v>
      </c>
      <c r="L13" s="1013">
        <f t="shared" si="3"/>
        <v>121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40</v>
      </c>
      <c r="Y13" s="1014">
        <f t="shared" si="4"/>
        <v>42</v>
      </c>
      <c r="Z13" s="1014">
        <f t="shared" si="4"/>
        <v>0</v>
      </c>
      <c r="AA13" s="1014">
        <f t="shared" si="4"/>
        <v>1</v>
      </c>
      <c r="AB13" s="1014">
        <f t="shared" si="4"/>
        <v>1574</v>
      </c>
      <c r="AC13" s="1014">
        <f t="shared" si="4"/>
        <v>4</v>
      </c>
      <c r="AD13" s="1014">
        <f t="shared" si="4"/>
        <v>0</v>
      </c>
      <c r="AE13" s="1018">
        <f t="shared" si="4"/>
        <v>0</v>
      </c>
      <c r="AF13" s="1011">
        <f t="shared" si="4"/>
        <v>0</v>
      </c>
      <c r="AG13" s="1019">
        <f t="shared" si="4"/>
        <v>0</v>
      </c>
      <c r="AH13" s="1016">
        <f t="shared" si="4"/>
        <v>0</v>
      </c>
      <c r="AI13" s="1011">
        <f t="shared" si="4"/>
        <v>107</v>
      </c>
      <c r="AJ13" s="1013">
        <f t="shared" si="4"/>
        <v>0</v>
      </c>
      <c r="AK13" s="1016">
        <f>SUBTOTAL(9,AK9:AK12)</f>
        <v>0</v>
      </c>
      <c r="AL13" s="1020">
        <f>IF(ISNUMBER(NºAsuntos!G13/NºAsuntos!E13),NºAsuntos!G13/NºAsuntos!E13," - ")</f>
        <v>0.57092819614711032</v>
      </c>
      <c r="AM13" s="1020">
        <f>IF(ISNUMBER(((NºAsuntos!I13/NºAsuntos!G13)*11)/factor_trimestre),((NºAsuntos!I13/NºAsuntos!G13)*11)/factor_trimestre," - ")</f>
        <v>12.680981595092025</v>
      </c>
      <c r="AN13" s="1021">
        <f>IF(ISNUMBER('Resol  Asuntos'!D13/NºAsuntos!G13),'Resol  Asuntos'!D13/NºAsuntos!G13," - ")</f>
        <v>0.32822085889570551</v>
      </c>
      <c r="AO13" s="1022">
        <f>IF(ISNUMBER((NºAsuntos!C13+NºAsuntos!E13)/NºAsuntos!G13),(NºAsuntos!C13+NºAsuntos!E13)/NºAsuntos!G13," - ")</f>
        <v>5.2269938650306749</v>
      </c>
      <c r="AP13" s="1023" t="str">
        <f t="shared" si="2"/>
        <v xml:space="preserve"> - </v>
      </c>
      <c r="AQ13" s="1023" t="str">
        <f>IF(ISNUMBER((H13-W13+K13)/(F13)),(H13-W13+K13)/(F13)," - ")</f>
        <v xml:space="preserve"> - </v>
      </c>
      <c r="AR13" s="1024">
        <f>IF(ISNUMBER((Datos!P13-Datos!Q13)/(Datos!R13-Datos!P13+Datos!Q13)),(Datos!P13-Datos!Q13)/(Datos!R13-Datos!P13+Datos!Q13)," - ")</f>
        <v>5.4253181513730743E-2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473</v>
      </c>
      <c r="G16" s="342">
        <f>IF(ISNUMBER(IF(D_I="SI",Datos!I16,Datos!I16+Datos!AC16)),IF(D_I="SI",Datos!I16,Datos!I16+Datos!AC16)," - ")</f>
        <v>473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671</v>
      </c>
      <c r="X16" s="230">
        <f>IF(ISNUMBER(Datos!Q16),Datos!Q16," - ")</f>
        <v>12</v>
      </c>
      <c r="Y16" s="343">
        <f t="shared" ref="Y16:Y17" si="7">SUM(W16:X16)</f>
        <v>683</v>
      </c>
      <c r="Z16" s="344" t="str">
        <f>IF(ISNUMBER(Datos!CC16),Datos!CC16," - ")</f>
        <v xml:space="preserve"> - </v>
      </c>
      <c r="AA16" s="341">
        <f>IF(ISNUMBER(IF(D_I="SI",Datos!L16,Datos!L16+Datos!AF16)),IF(D_I="SI",Datos!L16,Datos!L16+Datos!AF16)," - ")</f>
        <v>516</v>
      </c>
      <c r="AB16" s="343">
        <f>IF(ISNUMBER(Datos!R16),Datos!R16," - ")</f>
        <v>64</v>
      </c>
      <c r="AC16" s="343">
        <f t="shared" si="6"/>
        <v>580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91</v>
      </c>
      <c r="AJ16" s="235" t="str">
        <f>IF(ISNUMBER(Datos!BW16),Datos!BW16," - ")</f>
        <v xml:space="preserve"> - </v>
      </c>
      <c r="AK16" s="236" t="str">
        <f>IF(ISNUMBER(Datos!BX16),Datos!BX16," - ")</f>
        <v xml:space="preserve"> - </v>
      </c>
      <c r="AL16" s="247">
        <f>IF(ISNUMBER(NºAsuntos!G16/NºAsuntos!E16),NºAsuntos!G16/NºAsuntos!E16," - ")</f>
        <v>0.93977591036414565</v>
      </c>
      <c r="AM16" s="264">
        <f>IF(ISNUMBER(((NºAsuntos!I16/NºAsuntos!G16)*11)/factor_trimestre),((NºAsuntos!I16/NºAsuntos!G16)*11)/factor_trimestre," - ")</f>
        <v>2.3070044709388973</v>
      </c>
      <c r="AN16" s="248">
        <f>IF(ISNUMBER('Resol  Asuntos'!D16/NºAsuntos!G16),'Resol  Asuntos'!D16/NºAsuntos!G16," - ")</f>
        <v>0.13561847988077497</v>
      </c>
      <c r="AO16" s="249">
        <f>IF(ISNUMBER((NºAsuntos!C16+NºAsuntos!E16)/NºAsuntos!G16),(NºAsuntos!C16+NºAsuntos!E16)/NºAsuntos!G16," - ")</f>
        <v>1.7690014903129658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70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97</v>
      </c>
      <c r="X17" s="230">
        <f>IF(ISNUMBER(Datos!Q17),Datos!Q17," - ")</f>
        <v>0</v>
      </c>
      <c r="Y17" s="343">
        <f t="shared" si="7"/>
        <v>97</v>
      </c>
      <c r="Z17" s="344" t="str">
        <f>IF(ISNUMBER(Datos!CC17),Datos!CC17," - ")</f>
        <v xml:space="preserve"> - </v>
      </c>
      <c r="AA17" s="341">
        <f>IF(ISNUMBER(Datos!L17),Datos!L17,"-")</f>
        <v>89</v>
      </c>
      <c r="AB17" s="343">
        <f>IF(ISNUMBER(Datos!R17),Datos!R17," - ")</f>
        <v>0</v>
      </c>
      <c r="AC17" s="343">
        <f t="shared" si="6"/>
        <v>89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15</v>
      </c>
      <c r="AJ17" s="235" t="str">
        <f>IF(ISNUMBER(Datos!BW17),Datos!BW17," - ")</f>
        <v xml:space="preserve"> - </v>
      </c>
      <c r="AK17" s="236" t="str">
        <f>IF(ISNUMBER(Datos!BX17),Datos!BX17," - ")</f>
        <v xml:space="preserve"> - </v>
      </c>
      <c r="AL17" s="247">
        <f>IF(ISNUMBER(NºAsuntos!G17/NºAsuntos!E17),NºAsuntos!G17/NºAsuntos!E17," - ")</f>
        <v>0.83620689655172409</v>
      </c>
      <c r="AM17" s="264">
        <f>IF(ISNUMBER(((NºAsuntos!I17/NºAsuntos!G17)*11)/factor_trimestre),((NºAsuntos!I17/NºAsuntos!G17)*11)/factor_trimestre," - ")</f>
        <v>2.7525773195876289</v>
      </c>
      <c r="AN17" s="248">
        <f>IF(ISNUMBER('Resol  Asuntos'!D17/NºAsuntos!G17),'Resol  Asuntos'!D17/NºAsuntos!G17," - ")</f>
        <v>0.15463917525773196</v>
      </c>
      <c r="AO17" s="249">
        <f>IF(ISNUMBER((NºAsuntos!C17+NºAsuntos!E17)/NºAsuntos!G17),(NºAsuntos!C17+NºAsuntos!E17)/NºAsuntos!G17," - ")</f>
        <v>1.9175257731958764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473</v>
      </c>
      <c r="G18" s="1012">
        <f>SUBTOTAL(9,G15:G17)</f>
        <v>543</v>
      </c>
      <c r="H18" s="1011">
        <f t="shared" ref="H18:O18" si="10">SUBTOTAL(9,H14:H17)</f>
        <v>0</v>
      </c>
      <c r="I18" s="1013">
        <f t="shared" si="10"/>
        <v>0</v>
      </c>
      <c r="J18" s="1013">
        <f t="shared" si="10"/>
        <v>0</v>
      </c>
      <c r="K18" s="1013">
        <f t="shared" si="10"/>
        <v>0</v>
      </c>
      <c r="L18" s="1013">
        <f t="shared" si="10"/>
        <v>22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768</v>
      </c>
      <c r="X18" s="1013">
        <f t="shared" si="11"/>
        <v>12</v>
      </c>
      <c r="Y18" s="1014">
        <f t="shared" si="11"/>
        <v>780</v>
      </c>
      <c r="Z18" s="1014">
        <f t="shared" si="11"/>
        <v>0</v>
      </c>
      <c r="AA18" s="1014">
        <f t="shared" si="11"/>
        <v>605</v>
      </c>
      <c r="AB18" s="1014">
        <f t="shared" si="11"/>
        <v>64</v>
      </c>
      <c r="AC18" s="1014">
        <f t="shared" si="11"/>
        <v>669</v>
      </c>
      <c r="AD18" s="1014">
        <f t="shared" si="11"/>
        <v>0</v>
      </c>
      <c r="AE18" s="1018">
        <f t="shared" si="11"/>
        <v>0</v>
      </c>
      <c r="AF18" s="1011">
        <f t="shared" si="11"/>
        <v>0</v>
      </c>
      <c r="AG18" s="1019">
        <f t="shared" si="11"/>
        <v>0</v>
      </c>
      <c r="AH18" s="1016">
        <f t="shared" si="11"/>
        <v>0</v>
      </c>
      <c r="AI18" s="1011">
        <f t="shared" si="11"/>
        <v>106</v>
      </c>
      <c r="AJ18" s="1013">
        <f t="shared" si="11"/>
        <v>0</v>
      </c>
      <c r="AK18" s="1016">
        <f t="shared" si="11"/>
        <v>0</v>
      </c>
      <c r="AL18" s="1020">
        <f>IF(ISNUMBER(NºAsuntos!G18/NºAsuntos!E18),NºAsuntos!G18/NºAsuntos!E18," - ")</f>
        <v>0.92530120481927713</v>
      </c>
      <c r="AM18" s="1020">
        <f>IF(ISNUMBER(((NºAsuntos!I18/NºAsuntos!G18)*11)/factor_trimestre),((NºAsuntos!I18/NºAsuntos!G18)*11)/factor_trimestre," - ")</f>
        <v>2.3632812499999996</v>
      </c>
      <c r="AN18" s="1021">
        <f>IF(ISNUMBER('Resol  Asuntos'!D18/NºAsuntos!G18),'Resol  Asuntos'!D18/NºAsuntos!G18," - ")</f>
        <v>0.13802083333333334</v>
      </c>
      <c r="AO18" s="1022">
        <f>IF(ISNUMBER((NºAsuntos!C18+NºAsuntos!E18)/NºAsuntos!G18),(NºAsuntos!C18+NºAsuntos!E18)/NºAsuntos!G18," - ")</f>
        <v>1.7877604166666667</v>
      </c>
      <c r="AP18" s="1023" t="str">
        <f t="shared" si="2"/>
        <v xml:space="preserve"> - </v>
      </c>
      <c r="AQ18" s="1023">
        <f>IF(ISNUMBER((H18-W18+K18)/(F18)),(H18-W18+K18)/(F18)," - ")</f>
        <v>-1.6236786469344608</v>
      </c>
      <c r="AR18" s="1024">
        <f>IF(ISNUMBER((Datos!P18-Datos!Q18)/(Datos!R18-Datos!P18+Datos!Q18)),(Datos!P18-Datos!Q18)/(Datos!R18-Datos!P18+Datos!Q18)," - ")</f>
        <v>0.18518518518518517</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473</v>
      </c>
      <c r="G19" s="967">
        <f t="shared" si="13"/>
        <v>543</v>
      </c>
      <c r="H19" s="966">
        <f t="shared" si="13"/>
        <v>0</v>
      </c>
      <c r="I19" s="968">
        <f t="shared" si="13"/>
        <v>0</v>
      </c>
      <c r="J19" s="968">
        <f t="shared" si="13"/>
        <v>0</v>
      </c>
      <c r="K19" s="1027">
        <f t="shared" si="13"/>
        <v>0</v>
      </c>
      <c r="L19" s="968">
        <f t="shared" si="13"/>
        <v>143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770</v>
      </c>
      <c r="X19" s="967">
        <f t="shared" si="14"/>
        <v>52</v>
      </c>
      <c r="Y19" s="974">
        <f t="shared" si="14"/>
        <v>822</v>
      </c>
      <c r="Z19" s="974">
        <f t="shared" si="14"/>
        <v>0</v>
      </c>
      <c r="AA19" s="974">
        <f t="shared" si="14"/>
        <v>606</v>
      </c>
      <c r="AB19" s="974">
        <f t="shared" si="14"/>
        <v>1638</v>
      </c>
      <c r="AC19" s="974">
        <f t="shared" si="14"/>
        <v>673</v>
      </c>
      <c r="AD19" s="974">
        <f t="shared" si="14"/>
        <v>0</v>
      </c>
      <c r="AE19" s="976">
        <f t="shared" si="14"/>
        <v>0</v>
      </c>
      <c r="AF19" s="977">
        <f t="shared" si="14"/>
        <v>0</v>
      </c>
      <c r="AG19" s="978">
        <f t="shared" si="14"/>
        <v>0</v>
      </c>
      <c r="AH19" s="976">
        <f t="shared" si="14"/>
        <v>0</v>
      </c>
      <c r="AI19" s="966">
        <f t="shared" si="14"/>
        <v>213</v>
      </c>
      <c r="AJ19" s="966">
        <f t="shared" si="14"/>
        <v>0</v>
      </c>
      <c r="AK19" s="976">
        <f t="shared" si="14"/>
        <v>0</v>
      </c>
      <c r="AL19" s="1030">
        <f>IF(ISNUMBER(NºAsuntos!G19/NºAsuntos!E19),NºAsuntos!G19/NºAsuntos!E19," - ")</f>
        <v>0.78087080656673802</v>
      </c>
      <c r="AM19" s="1031">
        <f>IF(ISNUMBER(((NºAsuntos!I19/NºAsuntos!G19)*11)/factor_trimestre),((NºAsuntos!I19/NºAsuntos!G19)*11)/factor_trimestre," - ")</f>
        <v>5.4378427787934189</v>
      </c>
      <c r="AN19" s="1031">
        <f>IF(ISNUMBER('Resol  Asuntos'!D19/NºAsuntos!G19),'Resol  Asuntos'!D19/NºAsuntos!G19," - ")</f>
        <v>0.19469835466179158</v>
      </c>
      <c r="AO19" s="1032">
        <f>IF(ISNUMBER((NºAsuntos!C19+NºAsuntos!E19)/NºAsuntos!G19),(NºAsuntos!C19+NºAsuntos!E19)/NºAsuntos!G19," - ")</f>
        <v>2.8126142595978063</v>
      </c>
      <c r="AP19" s="1033" t="str">
        <f t="shared" si="2"/>
        <v xml:space="preserve"> - </v>
      </c>
      <c r="AQ19" s="1034">
        <f>IF(OR(ISNUMBER(FIND("01",Criterios!A8,1)),ISNUMBER(FIND("02",Criterios!A8,1)),ISNUMBER(FIND("03",Criterios!A8,1)),ISNUMBER(FIND("04",Criterios!A8,1))),(I19-W19+K19)/(F19-K19),(H19-W19+K19)/(F19-K19))</f>
        <v>-1.6279069767441861</v>
      </c>
      <c r="AR19" s="1035">
        <f>IF(ISNUMBER((Datos!P19-Datos!Q19)/(Datos!R19-Datos!P19+Datos!Q19)),(Datos!P19-Datos!Q19)/(Datos!R19-Datos!P19+Datos!Q19)," - ")</f>
        <v>5.8823529411764705E-2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217.2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273.08667732669295</v>
      </c>
      <c r="G21" s="257">
        <f>IF(ISNUMBER(STDEV(G8:G18)),STDEV(G8:G18),"-")</f>
        <v>268.14119414964944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379.19717825954348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49.787548644214247</v>
      </c>
      <c r="AJ21" s="256">
        <f t="shared" si="18"/>
        <v>0</v>
      </c>
      <c r="AK21" s="258">
        <f t="shared" si="18"/>
        <v>0</v>
      </c>
      <c r="AL21" s="253">
        <f t="shared" si="18"/>
        <v>0.1705413964101633</v>
      </c>
      <c r="AM21" s="254">
        <f t="shared" si="18"/>
        <v>5.429660587357831</v>
      </c>
      <c r="AN21" s="254">
        <f t="shared" si="18"/>
        <v>0.12752342052065355</v>
      </c>
      <c r="AO21" s="255">
        <f t="shared" si="18"/>
        <v>1.8098868624526092</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DA7vRaNozhIuNzy5SQfMHnaZf51N7H8eExJW6xYJ87RqB1t3ZShzYcQ90AKXkMJM4YJTbDX21M4TsJ37o/YuHw==" saltValue="5uhOO/NjAQWnB6eixtUu8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JAEN</v>
      </c>
      <c r="E3" s="267"/>
    </row>
    <row r="4" spans="2:20" ht="17.25" customHeight="1" thickBot="1">
      <c r="D4" s="266" t="str">
        <f>Criterios!A11 &amp;"  "&amp;Criterios!B11</f>
        <v>Resumenes por Partidos Judiciales  MARTOS</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f>IF(ISNUMBER((Datos!J10-Datos!T10)/Datos!T10),(Datos!J10-Datos!T10)/Datos!T10," - ")</f>
        <v>2</v>
      </c>
      <c r="F10" s="357">
        <f>IF(ISNUMBER((Datos!K10-Datos!U10)/Datos!U10),(Datos!K10-Datos!U10)/Datos!U10," - ")</f>
        <v>1</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f>IF(ISNUMBER((Tasas!E10-Datos!BG10)/Datos!BG10),(Tasas!E10-Datos!BG10)/Datos!BG10," - ")</f>
        <v>0.5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0.42666666666666669</v>
      </c>
      <c r="I12" s="359">
        <f>IF(ISNUMBER((Tasas!C12-Datos!BE12)/Datos!BE12),(Tasas!C12-Datos!BE12)/Datos!BE12," - ")</f>
        <v>0.822237017310253</v>
      </c>
      <c r="J12" s="358">
        <f>IF(ISNUMBER((Tasas!D12-Datos!BF12)/Datos!BF12),(Tasas!D12-Datos!BF12)/Datos!BF12," - ")</f>
        <v>0.1685660018993354</v>
      </c>
      <c r="K12" s="360">
        <f>IF(ISNUMBER((Tasas!E12-Datos!BG12)/Datos!BG12),(Tasas!E12-Datos!BG12)/Datos!BG12," - ")</f>
        <v>0.57548928238583408</v>
      </c>
      <c r="M12" t="e">
        <f>IF(Monitorios="SI",Datos!CE12,0)</f>
        <v>#REF!</v>
      </c>
      <c r="N12" t="e">
        <f>IF(Monitorios="SI",Datos!CF12,0)</f>
        <v>#REF!</v>
      </c>
      <c r="O12" t="e">
        <f>IF(Monitorios="SI",Datos!CG12,0)</f>
        <v>#REF!</v>
      </c>
      <c r="P12" t="e">
        <f>IF(Monitorios="SI",Datos!CH12,0)</f>
        <v>#REF!</v>
      </c>
      <c r="Q12">
        <f>IF(J_V="SI",0,Datos!AG12)</f>
        <v>41</v>
      </c>
      <c r="R12">
        <f>IF(J_V="SI",0,Datos!AH12)</f>
        <v>33</v>
      </c>
      <c r="S12">
        <f>IF(J_V="SI",0,Datos!AI12)</f>
        <v>23</v>
      </c>
      <c r="T12">
        <f>IF(J_V="SI",0,Datos!AJ12)</f>
        <v>51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0.42666666666666669</v>
      </c>
      <c r="I13" s="366">
        <f>IF(ISNUMBER((Tasas!C13-Datos!BE13)/Datos!BE13),(Tasas!C13-Datos!BE13)/Datos!BE13," - ")</f>
        <v>0.8180013560651237</v>
      </c>
      <c r="J13" s="364">
        <f>IF(ISNUMBER((Tasas!D13-Datos!BF13)/Datos!BF13),(Tasas!D13-Datos!BF13)/Datos!BF13," - ")</f>
        <v>0.16500370794849328</v>
      </c>
      <c r="K13" s="367">
        <f>IF(ISNUMBER((Tasas!E13-Datos!BG13)/Datos!BG13),(Tasas!E13-Datos!BG13)/Datos!BG13," - ")</f>
        <v>0.57199163724851754</v>
      </c>
      <c r="M13" t="e">
        <f>IF(Monitorios="SI",Datos!CE13,0)</f>
        <v>#REF!</v>
      </c>
      <c r="N13" t="e">
        <f>IF(Monitorios="SI",Datos!CF13,0)</f>
        <v>#REF!</v>
      </c>
      <c r="O13" t="e">
        <f>IF(Monitorios="SI",Datos!CG13,0)</f>
        <v>#REF!</v>
      </c>
      <c r="P13" t="e">
        <f>IF(Monitorios="SI",Datos!CH13,0)</f>
        <v>#REF!</v>
      </c>
      <c r="Q13">
        <f>IF(J_V="SI",0,Datos!AG13)</f>
        <v>41</v>
      </c>
      <c r="R13">
        <f>IF(J_V="SI",0,Datos!AH13)</f>
        <v>33</v>
      </c>
      <c r="S13">
        <f>IF(J_V="SI",0,Datos!AI13)</f>
        <v>23</v>
      </c>
      <c r="T13">
        <f>IF(J_V="SI",0,Datos!AJ13)</f>
        <v>51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7.4999999999999997E-2</v>
      </c>
      <c r="E16" s="357">
        <f>IF(ISNUMBER(
   IF(D_I="SI",(Datos!J16-Datos!T16)/Datos!T16,(Datos!J16+Datos!AD16-(Datos!T16+Datos!AL16))/(Datos!T16+Datos!AL16))
     ),IF(D_I="SI",(Datos!J16-Datos!T16)/Datos!T16,(Datos!J16+Datos!AD16-(Datos!T16+Datos!AL16))/(Datos!T16+Datos!AL16))," - ")</f>
        <v>0.38104448742746616</v>
      </c>
      <c r="F16" s="357">
        <f>IF(ISNUMBER(
   IF(D_I="SI",(Datos!K16-Datos!U16)/Datos!U16,(Datos!K16+Datos!AE16-(Datos!U16+Datos!AM16))/(Datos!U16+Datos!AM16))
     ),IF(D_I="SI",(Datos!K16-Datos!U16)/Datos!U16,(Datos!K16+Datos!AE16-(Datos!U16+Datos!AM16))/(Datos!U16+Datos!AM16))," - ")</f>
        <v>0.48780487804878048</v>
      </c>
      <c r="G16" s="358">
        <f>IF(ISNUMBER(
   IF(D_I="SI",(Datos!L16-Datos!V16)/Datos!V16,(Datos!L16+Datos!AF16-(Datos!V16+Datos!AN16))/(Datos!V16+Datos!AN16))
     ),IF(D_I="SI",(Datos!L16-Datos!V16)/Datos!V16,(Datos!L16+Datos!AF16-(Datos!V16+Datos!AN16))/(Datos!V16+Datos!AN16))," - ")</f>
        <v>1.9762845849802372E-2</v>
      </c>
      <c r="H16" s="234">
        <f>IF(ISNUMBER((Datos!M16-Datos!W16)/Datos!W16),(Datos!M16-Datos!W16)/Datos!W16," - ")</f>
        <v>1.4594594594594594</v>
      </c>
      <c r="I16" s="359">
        <f>IF(ISNUMBER((Tasas!C16-Datos!BE16)/Datos!BE16),(Tasas!C16-Datos!BE16)/Datos!BE16," - ")</f>
        <v>-0.31458562819931324</v>
      </c>
      <c r="J16" s="358">
        <f>IF(ISNUMBER((Tasas!D16-Datos!BF16)/Datos!BF16),(Tasas!D16-Datos!BF16)/Datos!BF16," - ")</f>
        <v>0.6530793088170137</v>
      </c>
      <c r="K16" s="360">
        <f>IF(ISNUMBER((Tasas!E16-Datos!BG16)/Datos!BG16),(Tasas!E16-Datos!BG16)/Datos!BG16," - ")</f>
        <v>-0.16633263100193568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2.3333333333333335</v>
      </c>
      <c r="E17" s="357">
        <f>IF(ISNUMBER(
   IF(D_I="SI",(Datos!J17-Datos!T17)/Datos!T17,(Datos!J17+Datos!AD17-(Datos!T17+Datos!AL17))/(Datos!T17+Datos!AL17))
     ),IF(D_I="SI",(Datos!J17-Datos!T17)/Datos!T17,(Datos!J17+Datos!AD17-(Datos!T17+Datos!AL17))/(Datos!T17+Datos!AL17))," - ")</f>
        <v>0.46835443037974683</v>
      </c>
      <c r="F17" s="357">
        <f>IF(ISNUMBER(
   IF(D_I="SI",(Datos!K17-Datos!U17)/Datos!U17,(Datos!K17+Datos!AE17-(Datos!U17+Datos!AM17))/(Datos!U17+Datos!AM17))
     ),IF(D_I="SI",(Datos!K17-Datos!U17)/Datos!U17,(Datos!K17+Datos!AE17-(Datos!U17+Datos!AM17))/(Datos!U17+Datos!AM17))," - ")</f>
        <v>0.15476190476190477</v>
      </c>
      <c r="G17" s="358">
        <f>IF(ISNUMBER(
   IF(D_I="SI",(Datos!L17-Datos!V17)/Datos!V17,(Datos!L17+Datos!AF17-(Datos!V17+Datos!AN17))/(Datos!V17+Datos!AN17))
     ),IF(D_I="SI",(Datos!L17-Datos!V17)/Datos!V17,(Datos!L17+Datos!AF17-(Datos!V17+Datos!AN17))/(Datos!V17+Datos!AN17))," - ")</f>
        <v>4.5625</v>
      </c>
      <c r="H17" s="234">
        <f>IF(ISNUMBER((Datos!M17-Datos!W17)/Datos!W17),(Datos!M17-Datos!W17)/Datos!W17," - ")</f>
        <v>0.15384615384615385</v>
      </c>
      <c r="I17" s="359">
        <f>IF(ISNUMBER((Tasas!C17-Datos!BE17)/Datos!BE17),(Tasas!C17-Datos!BE17)/Datos!BE17," - ")</f>
        <v>3.8170103092783507</v>
      </c>
      <c r="J17" s="358">
        <f>IF(ISNUMBER((Tasas!D17-Datos!BF17)/Datos!BF17),(Tasas!D17-Datos!BF17)/Datos!BF17," - ")</f>
        <v>-7.9302141157810979E-4</v>
      </c>
      <c r="K17" s="360">
        <f>IF(ISNUMBER((Tasas!E17-Datos!BG17)/Datos!BG17),(Tasas!E17-Datos!BG17)/Datos!BG17," - ")</f>
        <v>0.61072164948453611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0.17787418655097614</v>
      </c>
      <c r="E18" s="363">
        <f>IF(ISNUMBER(
   IF(D_I="SI",(Datos!J18-Datos!T18)/Datos!T18,(Datos!J18+Datos!AD18-(Datos!T18+Datos!AL18))/(Datos!T18+Datos!AL18))
     ),IF(D_I="SI",(Datos!J18-Datos!T18)/Datos!T18,(Datos!J18+Datos!AD18-(Datos!T18+Datos!AL18))/(Datos!T18+Datos!AL18))," - ")</f>
        <v>0.39261744966442952</v>
      </c>
      <c r="F18" s="363">
        <f>IF(ISNUMBER(
   IF(D_I="SI",(Datos!K18-Datos!U18)/Datos!U18,(Datos!K18+Datos!AE18-(Datos!U18+Datos!AM18))/(Datos!U18+Datos!AM18))
     ),IF(D_I="SI",(Datos!K18-Datos!U18)/Datos!U18,(Datos!K18+Datos!AE18-(Datos!U18+Datos!AM18))/(Datos!U18+Datos!AM18))," - ")</f>
        <v>0.43551401869158879</v>
      </c>
      <c r="G18" s="364">
        <f>IF(ISNUMBER(
   IF(D_I="SI",(Datos!L18-Datos!V18)/Datos!V18,(Datos!L18+Datos!AF18-(Datos!V18+Datos!AN18))/(Datos!V18+Datos!AN18))
     ),IF(D_I="SI",(Datos!L18-Datos!V18)/Datos!V18,(Datos!L18+Datos!AF18-(Datos!V18+Datos!AN18))/(Datos!V18+Datos!AN18))," - ")</f>
        <v>0.15900383141762453</v>
      </c>
      <c r="H18" s="365">
        <f>IF(ISNUMBER((Datos!M18-Datos!W18)/Datos!W18),(Datos!M18-Datos!W18)/Datos!W18," - ")</f>
        <v>1.1200000000000001</v>
      </c>
      <c r="I18" s="366">
        <f>IF(ISNUMBER((Tasas!C18-Datos!BE18)/Datos!BE18),(Tasas!C18-Datos!BE18)/Datos!BE18," - ")</f>
        <v>-0.19262102889527466</v>
      </c>
      <c r="J18" s="364">
        <f>IF(ISNUMBER((Tasas!D18-Datos!BF18)/Datos!BF18),(Tasas!D18-Datos!BF18)/Datos!BF18," - ")</f>
        <v>0.47682291666666682</v>
      </c>
      <c r="K18" s="367">
        <f>IF(ISNUMBER((Tasas!E18-Datos!BG18)/Datos!BG18),(Tasas!E18-Datos!BG18)/Datos!BG18," - ")</f>
        <v>-9.5125995348470438E-2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0.41673710904480138</v>
      </c>
      <c r="E19" s="372">
        <f>IF(ISNUMBER(
   IF(J_V="SI",(Datos!J19-Datos!T19)/Datos!T19,(Datos!J19+Datos!Z19-(Datos!T19+Datos!AH19))/(Datos!T19+Datos!AH19))
     ),IF(J_V="SI",(Datos!J19-Datos!T19)/Datos!T19,(Datos!J19+Datos!Z19-(Datos!T19+Datos!AH19))/(Datos!T19+Datos!AH19))," - ")</f>
        <v>0.47784810126582278</v>
      </c>
      <c r="F19" s="372">
        <f>IF(ISNUMBER(
   IF(J_V="SI",(Datos!K19-Datos!U19)/Datos!U19,(Datos!K19+Datos!AA19-(Datos!U19+Datos!AI19))/(Datos!U19+Datos!AI19))
     ),IF(J_V="SI",(Datos!K19-Datos!U19)/Datos!U19,(Datos!K19+Datos!AA19-(Datos!U19+Datos!AI19))/(Datos!U19+Datos!AI19))," - ")</f>
        <v>0.27505827505827507</v>
      </c>
      <c r="G19" s="373">
        <f>IF(ISNUMBER(
   IF(J_V="SI",(Datos!L19-Datos!V19)/Datos!V19,(Datos!L19+Datos!AB19-(Datos!V19+Datos!AJ19))/(Datos!V19+Datos!AJ19))
     ),IF(J_V="SI",(Datos!L19-Datos!V19)/Datos!V19,(Datos!L19+Datos!AB19-(Datos!V19+Datos!AJ19))/(Datos!V19+Datos!AJ19))," - ")</f>
        <v>0.55773762765121759</v>
      </c>
      <c r="H19" s="374">
        <f>IF(ISNUMBER((Datos!M19-Datos!W19)/Datos!W19),(Datos!M19-Datos!W19)/Datos!W19," - ")</f>
        <v>0.70399999999999996</v>
      </c>
      <c r="I19" s="371">
        <f>IF(ISNUMBER((Tasas!C19-Datos!BE19)/Datos!BE19),(Tasas!C19-Datos!BE19)/Datos!BE19," - ")</f>
        <v>0.22169916318532429</v>
      </c>
      <c r="J19" s="372">
        <f>IF(ISNUMBER((Tasas!D19-Datos!BF19)/Datos!BF19),(Tasas!D19-Datos!BF19)/Datos!BF19," - ")</f>
        <v>0.18476020070792334</v>
      </c>
      <c r="K19" s="373">
        <f>IF(ISNUMBER((Tasas!E19-Datos!BG19)/Datos!BG19),(Tasas!E19-Datos!BG19)/Datos!BG19," - ")</f>
        <v>0.13243690039179615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1.275189964681779</v>
      </c>
      <c r="E21" s="282">
        <f t="shared" si="1"/>
        <v>0.79394200121874825</v>
      </c>
      <c r="F21" s="282">
        <f t="shared" si="1"/>
        <v>0.35212325129019473</v>
      </c>
      <c r="G21" s="283">
        <f t="shared" si="1"/>
        <v>2.5834933523712356</v>
      </c>
      <c r="H21" s="289">
        <f t="shared" si="1"/>
        <v>0.54758187858948892</v>
      </c>
      <c r="I21" s="281">
        <f t="shared" si="1"/>
        <v>1.6695996076588808</v>
      </c>
      <c r="J21" s="282">
        <f t="shared" si="1"/>
        <v>0.26534322392622689</v>
      </c>
      <c r="K21" s="283">
        <f t="shared" si="1"/>
        <v>0.36154143626116797</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s1zq9nyyKKl+KNrk+NG7lxz37bXpYCydBaLSUMlq4ltEN5EnJoY4Gkx4pmc36K08Df7gathPmGkcz2YmTxFgsA==" saltValue="mgi8SNfzF9VVvK/O7pcj/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2023-10-06T14:26:38Z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